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2007" sheetId="1" r:id="rId1"/>
    <sheet name="2007 WO chip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<sst xmlns="http://schemas.openxmlformats.org/spreadsheetml/2006/main" count="264" uniqueCount="50">
  <si>
    <t xml:space="preserve"> </t>
  </si>
  <si>
    <t xml:space="preserve">#8  NEWSPAPER  </t>
  </si>
  <si>
    <t xml:space="preserve">MAGAZINES  </t>
  </si>
  <si>
    <t>OFFICE  PAC</t>
  </si>
  <si>
    <t xml:space="preserve">WHITE PAPER </t>
  </si>
  <si>
    <t xml:space="preserve">TIN  CANS </t>
  </si>
  <si>
    <t>ALUMINUM CANS #1 HOPPER</t>
  </si>
  <si>
    <t>PET     #2  HOPPER</t>
  </si>
  <si>
    <t>HDPE  (COLOR) #3 HOPPER</t>
  </si>
  <si>
    <t>HDPE (NATURAL) #4  HOPPER</t>
  </si>
  <si>
    <t>LLDP (FILM PLASTIC)</t>
  </si>
  <si>
    <t>GLASS</t>
  </si>
  <si>
    <t>Varies</t>
  </si>
  <si>
    <t xml:space="preserve">CARDBOARD </t>
  </si>
  <si>
    <t>UVR COMMERCIAL RECYCLABLES</t>
  </si>
  <si>
    <t>UVR COMMERCIAL TOTALS</t>
  </si>
  <si>
    <t>Residue as % of  Total</t>
  </si>
  <si>
    <t>UVDS &amp; UVR GRAND TOTALS</t>
  </si>
  <si>
    <t xml:space="preserve">#3  NEWSPAPER  </t>
  </si>
  <si>
    <t>**</t>
  </si>
  <si>
    <t xml:space="preserve">TONS </t>
  </si>
  <si>
    <t>EST WT/BALES OR BINS</t>
  </si>
  <si>
    <t xml:space="preserve">% </t>
  </si>
  <si>
    <t>TONS</t>
  </si>
  <si>
    <t xml:space="preserve">CARDBOARD  </t>
  </si>
  <si>
    <t xml:space="preserve">WAX  CARDBOARD </t>
  </si>
  <si>
    <t xml:space="preserve">2 YD BIN 1  </t>
  </si>
  <si>
    <t xml:space="preserve">2 YD BIN 2 </t>
  </si>
  <si>
    <t>SCRAP METAL HOPPER</t>
  </si>
  <si>
    <t xml:space="preserve">TRASH  -  BALED  </t>
  </si>
  <si>
    <t>ALL BALED TOTALS</t>
  </si>
  <si>
    <t>UPPER VALLEY DISPOSAL SERVICE</t>
  </si>
  <si>
    <t>**BASED ON MATERIAL SHIPPED</t>
  </si>
  <si>
    <t>SINGLE STREAM ( CURBSIDE ) BALE REPORT</t>
  </si>
  <si>
    <t>Residue Trash as % of  Total</t>
  </si>
  <si>
    <r>
      <t>METALS/PLASTICS/OTHER</t>
    </r>
    <r>
      <rPr>
        <b/>
        <sz val="16"/>
        <color indexed="12"/>
        <rFont val="Arial"/>
        <family val="2"/>
      </rPr>
      <t>*</t>
    </r>
  </si>
  <si>
    <r>
      <t>UVR DROP OFF</t>
    </r>
    <r>
      <rPr>
        <b/>
        <sz val="16"/>
        <color indexed="12"/>
        <rFont val="Arial"/>
        <family val="2"/>
      </rPr>
      <t>***</t>
    </r>
  </si>
  <si>
    <t>*</t>
  </si>
  <si>
    <t>Others=</t>
  </si>
  <si>
    <t>***</t>
  </si>
  <si>
    <t>Includes all CRV and non CRV (cardboard, paper, glass, plastic, aluminum/metals)</t>
  </si>
  <si>
    <t>Includes all oil, batteries, tires, CRT/TV's, electronic waste</t>
  </si>
  <si>
    <r>
      <t>UVR BUYBACK / DROP OFF</t>
    </r>
    <r>
      <rPr>
        <b/>
        <sz val="16"/>
        <color indexed="12"/>
        <rFont val="Arial"/>
        <family val="2"/>
      </rPr>
      <t>**</t>
    </r>
  </si>
  <si>
    <t>TONS OF POMACE</t>
  </si>
  <si>
    <t>Totals 2007</t>
  </si>
  <si>
    <t>CHIP &amp; GRIND</t>
  </si>
  <si>
    <t>UVDS CHIP &amp; GRIND</t>
  </si>
  <si>
    <t>UVR &amp; UVDS COMMERCIAL RECYCLABLES</t>
  </si>
  <si>
    <t>Includes all oil, batteries, tires, CRT/TV's, electronic waste,  drip hose (Feb &amp; May)</t>
  </si>
  <si>
    <t>Includes all oil, batteries, tires, CRT/TV's, electronic waste, drip hose (Feb &amp; May)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</si>
</sst>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mmm\-yy;@"/>
    <numFmt numFmtId="166" formatCode="mmm\-yyyy"/>
    <numFmt numFmtId="167" formatCode="[$-409]dddd\,\ mmmm\ dd\,\ yyyy"/>
    <numFmt numFmtId="168" formatCode="0.000"/>
    <numFmt numFmtId="169" formatCode="0.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color indexed="17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" fontId="6" fillId="2" borderId="3" xfId="0" applyNumberFormat="1" applyFont="1" applyFill="1" applyBorder="1" applyAlignment="1">
      <alignment horizontal="center"/>
    </xf>
    <xf numFmtId="9" fontId="8" fillId="2" borderId="3" xfId="2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9" fontId="8" fillId="2" borderId="0" xfId="21" applyFont="1" applyFill="1" applyBorder="1" applyAlignment="1">
      <alignment horizontal="center"/>
    </xf>
    <xf numFmtId="10" fontId="6" fillId="2" borderId="0" xfId="21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0" fontId="8" fillId="2" borderId="0" xfId="21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0" fontId="6" fillId="2" borderId="0" xfId="21" applyNumberFormat="1" applyFont="1" applyFill="1" applyAlignment="1">
      <alignment/>
    </xf>
    <xf numFmtId="0" fontId="13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10" fontId="8" fillId="2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justify"/>
    </xf>
    <xf numFmtId="2" fontId="6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64" fontId="9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10" fontId="8" fillId="2" borderId="0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0" fontId="8" fillId="2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0" fontId="4" fillId="2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9" fontId="8" fillId="2" borderId="1" xfId="2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0" fontId="6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2" fontId="6" fillId="2" borderId="5" xfId="0" applyNumberFormat="1" applyFont="1" applyFill="1" applyBorder="1" applyAlignment="1">
      <alignment horizontal="center"/>
    </xf>
    <xf numFmtId="9" fontId="8" fillId="2" borderId="3" xfId="0" applyNumberFormat="1" applyFont="1" applyFill="1" applyBorder="1" applyAlignment="1">
      <alignment horizontal="center"/>
    </xf>
    <xf numFmtId="10" fontId="8" fillId="2" borderId="6" xfId="0" applyNumberFormat="1" applyFont="1" applyFill="1" applyBorder="1" applyAlignment="1">
      <alignment horizontal="center"/>
    </xf>
    <xf numFmtId="10" fontId="8" fillId="2" borderId="7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2" fontId="6" fillId="2" borderId="1" xfId="0" applyNumberFormat="1" applyFont="1" applyFill="1" applyBorder="1" applyAlignment="1" quotePrefix="1">
      <alignment horizontal="center"/>
    </xf>
    <xf numFmtId="10" fontId="6" fillId="2" borderId="0" xfId="21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07%20Recycle%20Folder\07%20SS%20UPPER%20VALLEY%20RECYCLING%20PLANT%20DAILY%20REPORT%20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07%20Recycle%20Folder\2007%20TONS%20OF%20CURBSID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07%20Recycle%20Folder\07%20ROUTE%20#83%20(GW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ycle\redirect$\zneuman\My%20Documents\Commodities\COMMODITIES\2007%20SALES%20AND%20SHIPPED%20COMODIT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\2007%20CFL%20%20monthly%20reports%20%20%20Z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\2007%20BP%20CFL%20REPO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FL%202007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07"/>
      <sheetName val="FEB 07"/>
      <sheetName val="MARCH 07"/>
      <sheetName val="APRIL 07"/>
      <sheetName val="MAY 07"/>
      <sheetName val="JUNE 07"/>
      <sheetName val="JULY 07"/>
      <sheetName val="AUG 07"/>
      <sheetName val="SEPT 07"/>
      <sheetName val="OCT 07"/>
      <sheetName val="NOV 07"/>
      <sheetName val="DEC 07"/>
      <sheetName val="07 YR TOTALS"/>
      <sheetName val="07 TOTALS LESS TRASH"/>
      <sheetName val="Sheet1"/>
    </sheetNames>
    <sheetDataSet>
      <sheetData sheetId="0">
        <row r="4">
          <cell r="AY4">
            <v>0.17018976558369076</v>
          </cell>
        </row>
        <row r="6">
          <cell r="AY6">
            <v>0.003619058809705658</v>
          </cell>
        </row>
        <row r="8">
          <cell r="AY8">
            <v>0.059220962340638034</v>
          </cell>
        </row>
        <row r="10">
          <cell r="AY10">
            <v>0.25792844133717174</v>
          </cell>
        </row>
        <row r="12">
          <cell r="AY12">
            <v>0</v>
          </cell>
        </row>
        <row r="14">
          <cell r="AY14">
            <v>0</v>
          </cell>
        </row>
        <row r="16">
          <cell r="AY16">
            <v>0.00987016039010634</v>
          </cell>
        </row>
        <row r="18">
          <cell r="AY18">
            <v>0.018577051877093003</v>
          </cell>
        </row>
        <row r="20">
          <cell r="AY20">
            <v>0.007179366664708303</v>
          </cell>
        </row>
        <row r="22">
          <cell r="AY22">
            <v>0.01868280359555843</v>
          </cell>
        </row>
        <row r="24">
          <cell r="AY24">
            <v>0.012983960989366078</v>
          </cell>
        </row>
        <row r="26">
          <cell r="AY26">
            <v>0.007637624111391811</v>
          </cell>
        </row>
        <row r="28">
          <cell r="AY28">
            <v>0</v>
          </cell>
        </row>
        <row r="31">
          <cell r="AY31">
            <v>0.2012220198578227</v>
          </cell>
        </row>
        <row r="32">
          <cell r="AY32">
            <v>0.07637624111391811</v>
          </cell>
        </row>
        <row r="36">
          <cell r="AY36">
            <v>0.14946242876446744</v>
          </cell>
        </row>
      </sheetData>
      <sheetData sheetId="1">
        <row r="4">
          <cell r="AW4">
            <v>0.14974795942041208</v>
          </cell>
        </row>
        <row r="6">
          <cell r="AW6">
            <v>0.003248054331090629</v>
          </cell>
        </row>
        <row r="8">
          <cell r="AW8">
            <v>0.07244145417220313</v>
          </cell>
        </row>
        <row r="10">
          <cell r="AW10">
            <v>0.28587096365975573</v>
          </cell>
        </row>
        <row r="12">
          <cell r="AW12">
            <v>0</v>
          </cell>
        </row>
        <row r="14">
          <cell r="AW14">
            <v>0.0027418640457258555</v>
          </cell>
        </row>
        <row r="16">
          <cell r="AW16">
            <v>0.01279536554672066</v>
          </cell>
        </row>
        <row r="18">
          <cell r="AW18">
            <v>0.023537848269461956</v>
          </cell>
        </row>
        <row r="20">
          <cell r="AW20">
            <v>0.007930314470714782</v>
          </cell>
        </row>
        <row r="22">
          <cell r="AW22">
            <v>0.018630614669675687</v>
          </cell>
        </row>
        <row r="24">
          <cell r="AW24">
            <v>0.01279536554672066</v>
          </cell>
        </row>
        <row r="26">
          <cell r="AW26">
            <v>0.004569773409543092</v>
          </cell>
        </row>
        <row r="28">
          <cell r="AW28">
            <v>0</v>
          </cell>
        </row>
        <row r="31">
          <cell r="AW31">
            <v>0.18982135701179</v>
          </cell>
        </row>
        <row r="32">
          <cell r="AW32">
            <v>0.07206181145817954</v>
          </cell>
        </row>
        <row r="35">
          <cell r="AW35">
            <v>0.011072912492354417</v>
          </cell>
        </row>
        <row r="37">
          <cell r="AW37">
            <v>0.1327343414956517</v>
          </cell>
        </row>
      </sheetData>
      <sheetData sheetId="2">
        <row r="4">
          <cell r="AZ4">
            <v>0.1505426582273783</v>
          </cell>
        </row>
        <row r="6">
          <cell r="AZ6">
            <v>0.0063525589823039685</v>
          </cell>
        </row>
        <row r="8">
          <cell r="AZ8">
            <v>0.06467404011617287</v>
          </cell>
        </row>
        <row r="10">
          <cell r="AZ10">
            <v>0.26433366996466406</v>
          </cell>
        </row>
        <row r="12">
          <cell r="AZ12">
            <v>0</v>
          </cell>
        </row>
        <row r="14">
          <cell r="AZ14">
            <v>4.123699436743894E-07</v>
          </cell>
        </row>
        <row r="16">
          <cell r="AZ16">
            <v>0.012127387673520116</v>
          </cell>
        </row>
        <row r="18">
          <cell r="AZ18">
            <v>0.02224859557106433</v>
          </cell>
        </row>
        <row r="20">
          <cell r="AZ20">
            <v>0.006593383029409812</v>
          </cell>
        </row>
        <row r="22">
          <cell r="AZ22">
            <v>0.018804894171439508</v>
          </cell>
        </row>
        <row r="24">
          <cell r="AZ24">
            <v>0.009117087084697075</v>
          </cell>
        </row>
        <row r="26">
          <cell r="AZ26">
            <v>0.004290709263932022</v>
          </cell>
        </row>
        <row r="28">
          <cell r="AZ28">
            <v>0</v>
          </cell>
        </row>
        <row r="31">
          <cell r="AZ31">
            <v>0.20519404686254514</v>
          </cell>
        </row>
        <row r="32">
          <cell r="AZ32">
            <v>0.08248965879273751</v>
          </cell>
        </row>
        <row r="34">
          <cell r="AZ34">
            <v>0.00959296199969732</v>
          </cell>
        </row>
        <row r="36">
          <cell r="AZ36">
            <v>0.14387711045782547</v>
          </cell>
        </row>
      </sheetData>
      <sheetData sheetId="3">
        <row r="4">
          <cell r="AX4">
            <v>0.15586744312706857</v>
          </cell>
        </row>
        <row r="6">
          <cell r="AX6">
            <v>0.0038711299174661695</v>
          </cell>
        </row>
        <row r="8">
          <cell r="AX8">
            <v>0.06569190162972893</v>
          </cell>
        </row>
        <row r="10">
          <cell r="AX10">
            <v>0.2796262935187901</v>
          </cell>
        </row>
        <row r="12">
          <cell r="AX12">
            <v>0</v>
          </cell>
        </row>
        <row r="14">
          <cell r="AX14">
            <v>0.004357115924420797</v>
          </cell>
        </row>
        <row r="16">
          <cell r="AX16">
            <v>0.014076836063513344</v>
          </cell>
        </row>
        <row r="18">
          <cell r="AX18">
            <v>0.014026561649000794</v>
          </cell>
        </row>
        <row r="20">
          <cell r="AX20">
            <v>0.005513427458209393</v>
          </cell>
        </row>
        <row r="22">
          <cell r="AX22">
            <v>0.01953998910721019</v>
          </cell>
        </row>
        <row r="24">
          <cell r="AX24">
            <v>0.014160626754367588</v>
          </cell>
        </row>
        <row r="26">
          <cell r="AX26">
            <v>0.008714231848841594</v>
          </cell>
        </row>
        <row r="28">
          <cell r="AX28">
            <v>0</v>
          </cell>
        </row>
        <row r="31">
          <cell r="AX31">
            <v>0.192718588964766</v>
          </cell>
        </row>
        <row r="32">
          <cell r="AX32">
            <v>0.07960115631153379</v>
          </cell>
        </row>
        <row r="34">
          <cell r="AX34">
            <v>0.008169592358288994</v>
          </cell>
        </row>
        <row r="36">
          <cell r="AX36">
            <v>0.13406510536679375</v>
          </cell>
        </row>
      </sheetData>
      <sheetData sheetId="4">
        <row r="4">
          <cell r="AZ4">
            <v>0.16473317865429232</v>
          </cell>
        </row>
        <row r="6">
          <cell r="AZ6">
            <v>0.003801155156242287</v>
          </cell>
        </row>
        <row r="8">
          <cell r="AZ8">
            <v>0.07740534136347929</v>
          </cell>
        </row>
        <row r="10">
          <cell r="AZ10">
            <v>0.2559115367527275</v>
          </cell>
        </row>
        <row r="12">
          <cell r="AZ12">
            <v>0</v>
          </cell>
        </row>
        <row r="14">
          <cell r="AZ14">
            <v>0.0016043836698425237</v>
          </cell>
        </row>
        <row r="16">
          <cell r="AZ16">
            <v>0.008638988991459743</v>
          </cell>
        </row>
        <row r="18">
          <cell r="AZ18">
            <v>0.019511773707854077</v>
          </cell>
        </row>
        <row r="20">
          <cell r="AZ20">
            <v>0.004640371229698376</v>
          </cell>
        </row>
        <row r="22">
          <cell r="AZ22">
            <v>0.022239225946586366</v>
          </cell>
        </row>
        <row r="24">
          <cell r="AZ24">
            <v>0.013637261193661451</v>
          </cell>
        </row>
        <row r="26">
          <cell r="AZ26">
            <v>0.006417534679370095</v>
          </cell>
        </row>
        <row r="28">
          <cell r="AZ28">
            <v>0</v>
          </cell>
        </row>
        <row r="31">
          <cell r="AZ31">
            <v>0.20826134175840452</v>
          </cell>
        </row>
        <row r="32">
          <cell r="AZ32">
            <v>0.07559115367527275</v>
          </cell>
        </row>
        <row r="34">
          <cell r="AZ34">
            <v>0.009256059633706867</v>
          </cell>
        </row>
        <row r="36">
          <cell r="AZ36">
            <v>0.1283506935874019</v>
          </cell>
        </row>
      </sheetData>
      <sheetData sheetId="5">
        <row r="4">
          <cell r="AX4">
            <v>0.18689623033615876</v>
          </cell>
        </row>
        <row r="6">
          <cell r="AX6">
            <v>0.0029094298273234505</v>
          </cell>
        </row>
        <row r="8">
          <cell r="AX8">
            <v>0.0818166933259443</v>
          </cell>
        </row>
        <row r="10">
          <cell r="AX10">
            <v>0.24937969948486718</v>
          </cell>
        </row>
        <row r="12">
          <cell r="AX12">
            <v>0</v>
          </cell>
        </row>
        <row r="14">
          <cell r="AX14">
            <v>0.003274682922528559</v>
          </cell>
        </row>
        <row r="16">
          <cell r="AX16">
            <v>0.01675126264216532</v>
          </cell>
        </row>
        <row r="18">
          <cell r="AX18">
            <v>0.01639860448127763</v>
          </cell>
        </row>
        <row r="20">
          <cell r="AX20">
            <v>0.010655314432535236</v>
          </cell>
        </row>
        <row r="22">
          <cell r="AX22">
            <v>0.02136100860234014</v>
          </cell>
        </row>
        <row r="24">
          <cell r="AX24">
            <v>0.009824048767585676</v>
          </cell>
        </row>
        <row r="26">
          <cell r="AX26">
            <v>0.004912024383792838</v>
          </cell>
        </row>
        <row r="28">
          <cell r="AX28">
            <v>0.004181518193382621</v>
          </cell>
        </row>
        <row r="31">
          <cell r="AX31">
            <v>0.20309331586835774</v>
          </cell>
        </row>
        <row r="32">
          <cell r="AX32">
            <v>0.06769777195611924</v>
          </cell>
        </row>
        <row r="34">
          <cell r="AX34">
            <v>0.016058541254707355</v>
          </cell>
        </row>
        <row r="36">
          <cell r="AX36">
            <v>0.10478985352091388</v>
          </cell>
        </row>
      </sheetData>
      <sheetData sheetId="6">
        <row r="4">
          <cell r="AY4">
            <v>0.17690685527041494</v>
          </cell>
        </row>
        <row r="6">
          <cell r="AY6">
            <v>0.004996269019887746</v>
          </cell>
        </row>
        <row r="8">
          <cell r="AY8">
            <v>0.062498783376050346</v>
          </cell>
        </row>
        <row r="10">
          <cell r="AY10">
            <v>0.2569509781656555</v>
          </cell>
        </row>
        <row r="12">
          <cell r="AY12">
            <v>0</v>
          </cell>
        </row>
        <row r="14">
          <cell r="AY14">
            <v>0.001687051876845213</v>
          </cell>
        </row>
        <row r="16">
          <cell r="AY16">
            <v>0.009084125490704992</v>
          </cell>
        </row>
        <row r="18">
          <cell r="AY18">
            <v>0.016896473412711284</v>
          </cell>
        </row>
        <row r="20">
          <cell r="AY20">
            <v>0.009758946241443077</v>
          </cell>
        </row>
        <row r="22">
          <cell r="AY22">
            <v>0.02613632676897122</v>
          </cell>
        </row>
        <row r="24">
          <cell r="AY24">
            <v>0.010122311261071278</v>
          </cell>
        </row>
        <row r="26">
          <cell r="AY26">
            <v>0.007591733445803457</v>
          </cell>
        </row>
        <row r="28">
          <cell r="AY28">
            <v>0.014002530577815265</v>
          </cell>
        </row>
        <row r="31">
          <cell r="AY31">
            <v>0.19141550141128377</v>
          </cell>
        </row>
        <row r="32">
          <cell r="AY32">
            <v>0.07299743697887941</v>
          </cell>
        </row>
        <row r="34">
          <cell r="AY34">
            <v>0.010219641177043116</v>
          </cell>
        </row>
        <row r="36">
          <cell r="AY36">
            <v>0.12873503552541932</v>
          </cell>
        </row>
      </sheetData>
      <sheetData sheetId="7">
        <row r="4">
          <cell r="AY4">
            <v>0.16798303844674986</v>
          </cell>
        </row>
        <row r="6">
          <cell r="AY6">
            <v>0.0049499321594119235</v>
          </cell>
        </row>
        <row r="8">
          <cell r="AY8">
            <v>0.07344475341342421</v>
          </cell>
        </row>
        <row r="10">
          <cell r="AY10">
            <v>0.2444125302389829</v>
          </cell>
        </row>
        <row r="12">
          <cell r="AY12">
            <v>0.0012214118315432019</v>
          </cell>
        </row>
        <row r="14">
          <cell r="AY14">
            <v>0.0025071084963255194</v>
          </cell>
        </row>
        <row r="16">
          <cell r="AY16">
            <v>0.01710246560460087</v>
          </cell>
        </row>
        <row r="18">
          <cell r="AY18">
            <v>0.019132362069859136</v>
          </cell>
        </row>
        <row r="20">
          <cell r="AY20">
            <v>0.00785711731540108</v>
          </cell>
        </row>
        <row r="22">
          <cell r="AY22">
            <v>0.023170638866690536</v>
          </cell>
        </row>
        <row r="24">
          <cell r="AY24">
            <v>0.014208201700092776</v>
          </cell>
        </row>
        <row r="26">
          <cell r="AY26">
            <v>0.005850755527591653</v>
          </cell>
        </row>
        <row r="28">
          <cell r="AY28">
            <v>0.01173947767769433</v>
          </cell>
        </row>
        <row r="31">
          <cell r="AY31">
            <v>0.1880508155535547</v>
          </cell>
        </row>
        <row r="32">
          <cell r="AY32">
            <v>0.07554191109970057</v>
          </cell>
        </row>
        <row r="34">
          <cell r="AY34">
            <v>0.010125584439534692</v>
          </cell>
        </row>
        <row r="36">
          <cell r="AY36">
            <v>0.13270189555884213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-07"/>
      <sheetName val="FEB-07"/>
      <sheetName val="MAR-07"/>
      <sheetName val="APR-07"/>
      <sheetName val="MAY-07"/>
      <sheetName val="JUN-07"/>
      <sheetName val="JUL-07"/>
      <sheetName val="AUG-07"/>
      <sheetName val="SEPT-07"/>
      <sheetName val="OCT-07"/>
      <sheetName val="NOV-07"/>
      <sheetName val="DEC-07"/>
      <sheetName val="2006 YR TOTAL"/>
    </sheetNames>
    <sheetDataSet>
      <sheetData sheetId="0">
        <row r="81">
          <cell r="AE81">
            <v>343.62</v>
          </cell>
        </row>
        <row r="88">
          <cell r="AE88">
            <v>222.11</v>
          </cell>
        </row>
        <row r="89">
          <cell r="AE89">
            <v>67.93</v>
          </cell>
        </row>
      </sheetData>
      <sheetData sheetId="1">
        <row r="93">
          <cell r="AD93">
            <v>308.37</v>
          </cell>
        </row>
        <row r="100">
          <cell r="AD100">
            <v>179.51</v>
          </cell>
        </row>
        <row r="101">
          <cell r="AD101">
            <v>34.12</v>
          </cell>
        </row>
        <row r="102">
          <cell r="AD102">
            <v>29.46</v>
          </cell>
        </row>
      </sheetData>
      <sheetData sheetId="2">
        <row r="103">
          <cell r="AE103">
            <v>358.68000000000006</v>
          </cell>
        </row>
        <row r="110">
          <cell r="AE110">
            <v>216.27</v>
          </cell>
        </row>
        <row r="112">
          <cell r="AE112">
            <v>53.19</v>
          </cell>
        </row>
      </sheetData>
      <sheetData sheetId="3">
        <row r="98">
          <cell r="AD98">
            <v>310.88</v>
          </cell>
        </row>
        <row r="105">
          <cell r="AD105">
            <v>202.42</v>
          </cell>
        </row>
        <row r="107">
          <cell r="AD107">
            <v>48.099999999999994</v>
          </cell>
        </row>
      </sheetData>
      <sheetData sheetId="4">
        <row r="98">
          <cell r="AF98">
            <v>407.8499999999999</v>
          </cell>
        </row>
        <row r="105">
          <cell r="AF105">
            <v>204.77999999999997</v>
          </cell>
        </row>
        <row r="107">
          <cell r="AF107">
            <v>64.41</v>
          </cell>
        </row>
      </sheetData>
      <sheetData sheetId="5">
        <row r="99">
          <cell r="AD99">
            <v>377.84999999999997</v>
          </cell>
        </row>
      </sheetData>
      <sheetData sheetId="6">
        <row r="98">
          <cell r="AE98">
            <v>389.7700000000001</v>
          </cell>
        </row>
      </sheetData>
      <sheetData sheetId="7">
        <row r="102">
          <cell r="AF102">
            <v>384.71999999999997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-07"/>
      <sheetName val="JAN A"/>
      <sheetName val="FEB-07"/>
      <sheetName val="FEB A"/>
      <sheetName val="MAR-07"/>
      <sheetName val="MAR A"/>
      <sheetName val="1ST QUARTER "/>
      <sheetName val="APRIL-07"/>
      <sheetName val="APRIL A"/>
      <sheetName val="MAY-07"/>
      <sheetName val="MAY A"/>
      <sheetName val="JUNE-07"/>
      <sheetName val="JUNE A"/>
      <sheetName val="2ND QUARTER"/>
      <sheetName val="JULY-07"/>
      <sheetName val="JULY A"/>
      <sheetName val="AUG-07"/>
      <sheetName val="AUG A"/>
      <sheetName val="SEPT-07"/>
      <sheetName val="SEPT A"/>
      <sheetName val="3RD QUARTER"/>
      <sheetName val="OCT-07"/>
      <sheetName val="OCT A"/>
      <sheetName val="NOV-07"/>
      <sheetName val="NOV A"/>
      <sheetName val="DEC-07"/>
      <sheetName val="DEC A"/>
      <sheetName val="4TH QUARTER"/>
      <sheetName val=" MONTHS TOTALS"/>
      <sheetName val="6 MONTHS TOTALS"/>
    </sheetNames>
    <sheetDataSet>
      <sheetData sheetId="2">
        <row r="10">
          <cell r="AC10">
            <v>81.92</v>
          </cell>
        </row>
      </sheetData>
      <sheetData sheetId="4">
        <row r="10">
          <cell r="AE10">
            <v>99.49</v>
          </cell>
        </row>
      </sheetData>
      <sheetData sheetId="9">
        <row r="10">
          <cell r="AF10">
            <v>117.14999999999999</v>
          </cell>
        </row>
      </sheetData>
      <sheetData sheetId="11">
        <row r="10">
          <cell r="AD10">
            <v>95.42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M APPLIANCE"/>
      <sheetName val="ACN PAPER"/>
      <sheetName val="ACN PLASTICS"/>
      <sheetName val="BOER COMMODITIES"/>
      <sheetName val="BATTERIES"/>
      <sheetName val="CAC HONG"/>
      <sheetName val="CRT SLR"/>
      <sheetName val="CRT TOTALS"/>
      <sheetName val="E-WASTE NO $$"/>
      <sheetName val="CRT UVR"/>
      <sheetName val="CRA GLASS"/>
      <sheetName val="CUSTOM ALLOY INDUSTRIAL"/>
      <sheetName val="K-C Int'l Plastic"/>
      <sheetName val="K-C Int'l Paper"/>
      <sheetName val="DRIP HOSE"/>
      <sheetName val="E-RECYCLING"/>
      <sheetName val="MISC"/>
      <sheetName val="NORTHERN PAPER"/>
      <sheetName val="NORTHERN PAPER SLR"/>
      <sheetName val="RECYCLE ZONE SLR"/>
      <sheetName val="RECYCLE ZONE"/>
      <sheetName val="STD IRON"/>
      <sheetName val="S&amp;P RECYCLE"/>
      <sheetName val="SMURFIT"/>
      <sheetName val="SMURFIT PLASTIC"/>
      <sheetName val="STRATEGIC "/>
      <sheetName val="STRATEGIC SLR"/>
      <sheetName val="SCHNITZER STEEL"/>
      <sheetName val="TALCO"/>
      <sheetName val="TAS EXPRESS"/>
      <sheetName val="TREX"/>
      <sheetName val="WASTE RECOVERY WEST"/>
      <sheetName val="WOODLAND POWER"/>
    </sheetNames>
    <sheetDataSet>
      <sheetData sheetId="11">
        <row r="58">
          <cell r="C58">
            <v>268.26</v>
          </cell>
        </row>
      </sheetData>
      <sheetData sheetId="14">
        <row r="7">
          <cell r="E7">
            <v>21</v>
          </cell>
        </row>
      </sheetData>
      <sheetData sheetId="20">
        <row r="7">
          <cell r="C7">
            <v>20.68</v>
          </cell>
        </row>
      </sheetData>
      <sheetData sheetId="21">
        <row r="13">
          <cell r="C13">
            <v>18.11</v>
          </cell>
        </row>
      </sheetData>
      <sheetData sheetId="25">
        <row r="15">
          <cell r="C15">
            <v>266.53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0">
        <row r="13">
          <cell r="E13">
            <v>16.37</v>
          </cell>
        </row>
        <row r="15">
          <cell r="E15">
            <v>1.85</v>
          </cell>
        </row>
        <row r="16">
          <cell r="E16">
            <v>21.06</v>
          </cell>
        </row>
        <row r="17">
          <cell r="E17">
            <v>5.68</v>
          </cell>
        </row>
      </sheetData>
      <sheetData sheetId="1">
        <row r="16">
          <cell r="E16">
            <v>14.25</v>
          </cell>
        </row>
        <row r="17">
          <cell r="H17">
            <v>4.779999999999999</v>
          </cell>
        </row>
      </sheetData>
      <sheetData sheetId="2">
        <row r="13">
          <cell r="E13">
            <v>43.86</v>
          </cell>
        </row>
        <row r="17">
          <cell r="E17">
            <v>19.98</v>
          </cell>
        </row>
        <row r="18">
          <cell r="E18">
            <v>11.71</v>
          </cell>
        </row>
      </sheetData>
      <sheetData sheetId="4">
        <row r="13">
          <cell r="E13">
            <v>21.39</v>
          </cell>
        </row>
        <row r="17">
          <cell r="E17">
            <v>26.46</v>
          </cell>
        </row>
      </sheetData>
      <sheetData sheetId="5">
        <row r="13">
          <cell r="E13">
            <v>22.57</v>
          </cell>
        </row>
        <row r="17">
          <cell r="E17">
            <v>27.88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5">
        <row r="26">
          <cell r="D26">
            <v>78.789995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</sheetNames>
    <sheetDataSet>
      <sheetData sheetId="6">
        <row r="15">
          <cell r="D15">
            <v>23.35</v>
          </cell>
        </row>
        <row r="21">
          <cell r="D21">
            <v>3.5</v>
          </cell>
        </row>
        <row r="22">
          <cell r="D22">
            <v>0.41000000000000003</v>
          </cell>
        </row>
        <row r="23">
          <cell r="D23">
            <v>5.57</v>
          </cell>
        </row>
        <row r="24">
          <cell r="D24">
            <v>7.29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view="pageBreakPreview" zoomScaleSheetLayoutView="100" workbookViewId="0" topLeftCell="Q37">
      <selection activeCell="F44" sqref="F44:F48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customWidth="1"/>
    <col min="7" max="7" width="10.00390625" style="0" customWidth="1"/>
    <col min="8" max="8" width="9.28125" style="0" customWidth="1"/>
    <col min="9" max="10" width="9.421875" style="0" customWidth="1"/>
    <col min="12" max="12" width="9.140625" style="68" customWidth="1"/>
    <col min="13" max="13" width="9.28125" style="0" customWidth="1"/>
    <col min="14" max="14" width="10.140625" style="68" customWidth="1"/>
    <col min="15" max="15" width="9.28125" style="0" customWidth="1"/>
    <col min="17" max="17" width="29.7109375" style="0" customWidth="1"/>
    <col min="18" max="18" width="10.8515625" style="0" customWidth="1"/>
    <col min="19" max="19" width="9.7109375" style="0" customWidth="1"/>
    <col min="20" max="20" width="10.421875" style="68" customWidth="1"/>
    <col min="21" max="21" width="10.421875" style="0" customWidth="1"/>
    <col min="22" max="29" width="9.140625" style="0" hidden="1" customWidth="1"/>
    <col min="30" max="30" width="11.421875" style="0" customWidth="1"/>
    <col min="31" max="32" width="9.140625" style="62" customWidth="1"/>
  </cols>
  <sheetData>
    <row r="1" spans="1:32" s="32" customFormat="1" ht="15.75">
      <c r="A1" s="42" t="s">
        <v>31</v>
      </c>
      <c r="B1" s="42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42" t="s">
        <v>31</v>
      </c>
      <c r="Q1" s="42"/>
      <c r="R1" s="2"/>
      <c r="S1" s="1"/>
      <c r="T1" s="1"/>
      <c r="U1" s="3"/>
      <c r="V1" s="1"/>
      <c r="W1" s="3"/>
      <c r="X1" s="1"/>
      <c r="Y1" s="3"/>
      <c r="Z1" s="1"/>
      <c r="AA1" s="3"/>
      <c r="AB1" s="1"/>
      <c r="AC1" s="3"/>
      <c r="AD1" s="1"/>
      <c r="AE1" s="1"/>
      <c r="AF1" s="1"/>
    </row>
    <row r="2" spans="1:32" s="32" customFormat="1" ht="15.75">
      <c r="A2" s="42" t="s">
        <v>33</v>
      </c>
      <c r="B2" s="42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42" t="s">
        <v>33</v>
      </c>
      <c r="Q2" s="42"/>
      <c r="R2" s="6"/>
      <c r="S2" s="7"/>
      <c r="T2" s="7"/>
      <c r="U2" s="8"/>
      <c r="V2" s="7"/>
      <c r="W2" s="8"/>
      <c r="X2" s="7"/>
      <c r="Y2" s="8"/>
      <c r="Z2" s="7"/>
      <c r="AA2" s="8"/>
      <c r="AB2" s="7"/>
      <c r="AC2" s="8"/>
      <c r="AD2" s="7"/>
      <c r="AE2" s="1"/>
      <c r="AF2" s="1"/>
    </row>
    <row r="3" spans="1:32" s="32" customFormat="1" ht="15.75">
      <c r="A3" s="49">
        <v>2007</v>
      </c>
      <c r="B3" s="47"/>
      <c r="C3" s="48"/>
      <c r="D3" s="11">
        <v>39089</v>
      </c>
      <c r="E3" s="11">
        <v>39089</v>
      </c>
      <c r="F3" s="11">
        <v>39120</v>
      </c>
      <c r="G3" s="11">
        <v>39120</v>
      </c>
      <c r="H3" s="11">
        <v>39148</v>
      </c>
      <c r="I3" s="11">
        <v>39148</v>
      </c>
      <c r="J3" s="11">
        <v>39179</v>
      </c>
      <c r="K3" s="11">
        <v>39179</v>
      </c>
      <c r="L3" s="11">
        <v>39209</v>
      </c>
      <c r="M3" s="11">
        <v>39209</v>
      </c>
      <c r="N3" s="11">
        <v>39240</v>
      </c>
      <c r="O3" s="11">
        <v>39240</v>
      </c>
      <c r="P3" s="9"/>
      <c r="Q3" s="10"/>
      <c r="R3" s="11">
        <v>39270</v>
      </c>
      <c r="S3" s="11">
        <v>39270</v>
      </c>
      <c r="T3" s="11">
        <v>39301</v>
      </c>
      <c r="U3" s="11">
        <v>39301</v>
      </c>
      <c r="V3" s="11">
        <v>39332</v>
      </c>
      <c r="W3" s="11">
        <v>39332</v>
      </c>
      <c r="X3" s="11">
        <v>39362</v>
      </c>
      <c r="Y3" s="11">
        <v>39362</v>
      </c>
      <c r="Z3" s="11">
        <v>39393</v>
      </c>
      <c r="AA3" s="11">
        <v>39393</v>
      </c>
      <c r="AB3" s="11">
        <v>39423</v>
      </c>
      <c r="AC3" s="11">
        <v>39423</v>
      </c>
      <c r="AD3" s="11" t="s">
        <v>44</v>
      </c>
      <c r="AE3" s="1"/>
      <c r="AF3" s="1"/>
    </row>
    <row r="4" spans="1:32" s="32" customFormat="1" ht="33.75">
      <c r="A4" s="12"/>
      <c r="B4" s="5" t="s">
        <v>0</v>
      </c>
      <c r="C4" s="33" t="s">
        <v>21</v>
      </c>
      <c r="D4" s="13" t="s">
        <v>20</v>
      </c>
      <c r="E4" s="13" t="s">
        <v>22</v>
      </c>
      <c r="F4" s="13" t="s">
        <v>20</v>
      </c>
      <c r="G4" s="14" t="s">
        <v>22</v>
      </c>
      <c r="H4" s="13" t="s">
        <v>20</v>
      </c>
      <c r="I4" s="14" t="s">
        <v>22</v>
      </c>
      <c r="J4" s="13" t="s">
        <v>20</v>
      </c>
      <c r="K4" s="14" t="s">
        <v>22</v>
      </c>
      <c r="L4" s="13" t="s">
        <v>20</v>
      </c>
      <c r="M4" s="14" t="s">
        <v>22</v>
      </c>
      <c r="N4" s="13" t="s">
        <v>20</v>
      </c>
      <c r="O4" s="14" t="s">
        <v>22</v>
      </c>
      <c r="P4" s="12"/>
      <c r="Q4" s="5" t="s">
        <v>0</v>
      </c>
      <c r="R4" s="13" t="s">
        <v>20</v>
      </c>
      <c r="S4" s="14" t="s">
        <v>22</v>
      </c>
      <c r="T4" s="13" t="s">
        <v>20</v>
      </c>
      <c r="U4" s="14" t="s">
        <v>22</v>
      </c>
      <c r="V4" s="13" t="s">
        <v>20</v>
      </c>
      <c r="W4" s="14" t="s">
        <v>22</v>
      </c>
      <c r="X4" s="13" t="s">
        <v>20</v>
      </c>
      <c r="Y4" s="14" t="s">
        <v>22</v>
      </c>
      <c r="Z4" s="13" t="s">
        <v>20</v>
      </c>
      <c r="AA4" s="14" t="s">
        <v>22</v>
      </c>
      <c r="AB4" s="13" t="s">
        <v>20</v>
      </c>
      <c r="AC4" s="14" t="s">
        <v>22</v>
      </c>
      <c r="AD4" s="13" t="s">
        <v>23</v>
      </c>
      <c r="AE4" s="1" t="s">
        <v>0</v>
      </c>
      <c r="AF4" s="1"/>
    </row>
    <row r="5" spans="1:32" s="32" customFormat="1" ht="12.75" customHeight="1">
      <c r="A5" s="12">
        <v>1</v>
      </c>
      <c r="B5" s="5" t="s">
        <v>24</v>
      </c>
      <c r="C5" s="15">
        <v>1420</v>
      </c>
      <c r="D5" s="16">
        <f>'[2]JAN-07'!$AE$81*'[1]JAN 07'!$AY4</f>
        <v>58.480607249867816</v>
      </c>
      <c r="E5" s="17">
        <f>SUM(D5/D37)</f>
        <v>0.20176917183255552</v>
      </c>
      <c r="F5" s="16">
        <f>'[2]FEB-07'!$AD$93*'[1]FEB 07'!$AW4</f>
        <v>46.17777824647247</v>
      </c>
      <c r="G5" s="17">
        <f>SUM(F5/F37)</f>
        <v>0.17266676934800052</v>
      </c>
      <c r="H5" s="16">
        <f>'[2]MAR-07'!$AE$103*'[1]MARCH 07'!$AZ4</f>
        <v>53.996640652996064</v>
      </c>
      <c r="I5" s="17">
        <f>SUM(H5/H37)</f>
        <v>0.17579323575469355</v>
      </c>
      <c r="J5" s="16">
        <f>'[2]APR-07'!$AD$98*'[1]APRIL 07'!$AX4</f>
        <v>48.456070719343074</v>
      </c>
      <c r="K5" s="17">
        <f>SUM(J5/J37)</f>
        <v>0.17999903236731338</v>
      </c>
      <c r="L5" s="16">
        <f>'[2]MAY-07'!$AF$98*'[1]MAY 07'!$AZ4</f>
        <v>67.1864269141531</v>
      </c>
      <c r="M5" s="17">
        <f>SUM(L5/L37)</f>
        <v>0.18899020218610177</v>
      </c>
      <c r="N5" s="16">
        <f>'2007 WO chip'!N5</f>
        <v>70.61874063251759</v>
      </c>
      <c r="O5" s="17">
        <f>SUM(N5/N37)</f>
        <v>0.20877358357837272</v>
      </c>
      <c r="P5" s="12">
        <v>1</v>
      </c>
      <c r="Q5" s="5" t="s">
        <v>24</v>
      </c>
      <c r="R5" s="16">
        <f>'[2]JUL-07'!$AE$98*'[1]JULY 07'!$AY4</f>
        <v>68.95298497874965</v>
      </c>
      <c r="S5" s="17">
        <f>SUM(R5/R37)</f>
        <v>0.20304598771178553</v>
      </c>
      <c r="T5" s="16">
        <f>'[2]AUG-07'!$AF$102*'[1]AUG 07'!$AY4</f>
        <v>64.6264345512336</v>
      </c>
      <c r="U5" s="17">
        <f>SUM(T5/T37)</f>
        <v>0.19368546706900672</v>
      </c>
      <c r="V5" s="67">
        <v>0</v>
      </c>
      <c r="W5" s="17" t="e">
        <f>SUM(V5/V37)</f>
        <v>#DIV/0!</v>
      </c>
      <c r="X5" s="67">
        <v>0</v>
      </c>
      <c r="Y5" s="17" t="e">
        <f>SUM(X5/X37)</f>
        <v>#DIV/0!</v>
      </c>
      <c r="Z5" s="67">
        <v>0</v>
      </c>
      <c r="AA5" s="17" t="e">
        <f>SUM(Z5/Z37)</f>
        <v>#DIV/0!</v>
      </c>
      <c r="AB5" s="67">
        <v>0</v>
      </c>
      <c r="AC5" s="17" t="e">
        <f>SUM(AB5/AB37)</f>
        <v>#DIV/0!</v>
      </c>
      <c r="AD5" s="16">
        <f>SUM(D5+F5+H5+J5+L5+N5+R5+T5+V5+X5+Z5+AB5)</f>
        <v>478.4956839453334</v>
      </c>
      <c r="AE5" s="1" t="s">
        <v>0</v>
      </c>
      <c r="AF5" s="61"/>
    </row>
    <row r="6" spans="1:32" s="32" customFormat="1" ht="12.75">
      <c r="A6" s="12"/>
      <c r="B6" s="5"/>
      <c r="C6" s="15"/>
      <c r="D6" s="16"/>
      <c r="E6" s="17"/>
      <c r="F6" s="16"/>
      <c r="G6" s="17"/>
      <c r="H6" s="16"/>
      <c r="I6" s="17"/>
      <c r="J6" s="16"/>
      <c r="K6" s="34"/>
      <c r="L6" s="16"/>
      <c r="M6" s="17"/>
      <c r="N6" s="16"/>
      <c r="O6" s="17"/>
      <c r="P6" s="12"/>
      <c r="Q6" s="5"/>
      <c r="R6" s="16"/>
      <c r="S6" s="17"/>
      <c r="T6" s="16"/>
      <c r="U6" s="17"/>
      <c r="V6" s="67">
        <v>0</v>
      </c>
      <c r="W6" s="17"/>
      <c r="X6" s="67">
        <v>0</v>
      </c>
      <c r="Y6" s="17"/>
      <c r="Z6" s="67">
        <v>0</v>
      </c>
      <c r="AA6" s="17"/>
      <c r="AB6" s="67">
        <v>0</v>
      </c>
      <c r="AC6" s="17"/>
      <c r="AD6" s="16"/>
      <c r="AE6" s="1"/>
      <c r="AF6" s="61"/>
    </row>
    <row r="7" spans="1:32" s="32" customFormat="1" ht="12.75">
      <c r="A7" s="12">
        <v>2</v>
      </c>
      <c r="B7" s="5" t="s">
        <v>25</v>
      </c>
      <c r="C7" s="15">
        <v>1540</v>
      </c>
      <c r="D7" s="16">
        <f>'[2]JAN-07'!$AE$81*'[1]JAN 07'!$AY6</f>
        <v>1.2435809881910582</v>
      </c>
      <c r="E7" s="17">
        <f>SUM(D7/D37)</f>
        <v>0.004290589956118966</v>
      </c>
      <c r="F7" s="16">
        <f>'[2]FEB-07'!$AD$93*'[1]FEB 07'!$AW6</f>
        <v>1.0016025140784173</v>
      </c>
      <c r="G7" s="17">
        <f>(F7/F37)</f>
        <v>0.0037451665464214206</v>
      </c>
      <c r="H7" s="16">
        <f>'[2]MAR-07'!$AE$103*'[1]MARCH 07'!$AZ6</f>
        <v>2.278535855772788</v>
      </c>
      <c r="I7" s="17">
        <f>SUM(H7/H37)</f>
        <v>0.007418076125207302</v>
      </c>
      <c r="J7" s="16">
        <f>'[2]APR-07'!$AD$98*'[1]APRIL 07'!$AX6</f>
        <v>1.2034568687418827</v>
      </c>
      <c r="K7" s="17">
        <f>SUM(J7/J37)</f>
        <v>0.004470463012240554</v>
      </c>
      <c r="L7" s="16">
        <f>'[2]MAY-07'!$AF$98*'[1]MAY 07'!$AZ6</f>
        <v>1.5503011304734164</v>
      </c>
      <c r="M7" s="17">
        <f>SUM(L7/L37)</f>
        <v>0.0043608767061222185</v>
      </c>
      <c r="N7" s="16">
        <f>'2007 WO chip'!N7</f>
        <v>1.0993280602541657</v>
      </c>
      <c r="O7" s="17">
        <f>SUM(N7/N37)</f>
        <v>0.0032499964826877897</v>
      </c>
      <c r="P7" s="12">
        <v>2</v>
      </c>
      <c r="Q7" s="5" t="s">
        <v>25</v>
      </c>
      <c r="R7" s="16">
        <f>'[2]JUL-07'!$AE$98*'[1]JULY 07'!$AY6</f>
        <v>1.9473957758816474</v>
      </c>
      <c r="S7" s="17">
        <f>SUM(R7/R37)</f>
        <v>0.0057345000930925346</v>
      </c>
      <c r="T7" s="16">
        <f>'[2]AUG-07'!$AF$102*'[1]AUG 07'!$AY6</f>
        <v>1.9043379003689551</v>
      </c>
      <c r="U7" s="17">
        <f>(T7/T37)</f>
        <v>0.00570730194619923</v>
      </c>
      <c r="V7" s="67">
        <v>0</v>
      </c>
      <c r="W7" s="17" t="e">
        <f>(V7/V37)</f>
        <v>#DIV/0!</v>
      </c>
      <c r="X7" s="67">
        <v>0</v>
      </c>
      <c r="Y7" s="17" t="e">
        <f>SUM(X7/X37)</f>
        <v>#DIV/0!</v>
      </c>
      <c r="Z7" s="67">
        <v>0</v>
      </c>
      <c r="AA7" s="17" t="e">
        <f>SUM(Z7/Z37)</f>
        <v>#DIV/0!</v>
      </c>
      <c r="AB7" s="67">
        <v>0</v>
      </c>
      <c r="AC7" s="17" t="e">
        <f>SUM(AB7/AB37)</f>
        <v>#DIV/0!</v>
      </c>
      <c r="AD7" s="16">
        <f aca="true" t="shared" si="0" ref="AD7:AD39">SUM(D7+F7+H7+J7+L7+N7+R7+T7+V7+X7+Z7+AB7)</f>
        <v>12.22853909376233</v>
      </c>
      <c r="AE7" s="1"/>
      <c r="AF7" s="61"/>
    </row>
    <row r="8" spans="1:32" s="32" customFormat="1" ht="12.75">
      <c r="A8" s="12"/>
      <c r="B8" s="5"/>
      <c r="C8" s="15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2"/>
      <c r="Q8" s="5"/>
      <c r="R8" s="16"/>
      <c r="S8" s="17"/>
      <c r="T8" s="16"/>
      <c r="U8" s="17"/>
      <c r="V8" s="67">
        <v>0</v>
      </c>
      <c r="W8" s="17"/>
      <c r="X8" s="67">
        <v>0</v>
      </c>
      <c r="Y8" s="17"/>
      <c r="Z8" s="67">
        <v>0</v>
      </c>
      <c r="AA8" s="17"/>
      <c r="AB8" s="67">
        <v>0</v>
      </c>
      <c r="AC8" s="17"/>
      <c r="AD8" s="16"/>
      <c r="AE8" s="1"/>
      <c r="AF8" s="61"/>
    </row>
    <row r="9" spans="1:32" s="32" customFormat="1" ht="12.75">
      <c r="A9" s="12">
        <v>3</v>
      </c>
      <c r="B9" s="5" t="s">
        <v>18</v>
      </c>
      <c r="C9" s="15">
        <v>2240</v>
      </c>
      <c r="D9" s="16">
        <f>'[2]JAN-07'!$AE$81*'[1]JAN 07'!$AY8</f>
        <v>20.349507079490042</v>
      </c>
      <c r="E9" s="17">
        <f>SUM(D9/D37)</f>
        <v>0.07020965382740126</v>
      </c>
      <c r="F9" s="16">
        <f>'[2]FEB-07'!$AD$93*'[1]FEB 07'!$AW8</f>
        <v>22.33877122308228</v>
      </c>
      <c r="G9" s="17">
        <f>SUM(F9/F37)</f>
        <v>0.08352856297473231</v>
      </c>
      <c r="H9" s="16">
        <f>'[2]MAR-07'!$AE$103*'[1]MARCH 07'!$AZ8</f>
        <v>23.19728470886889</v>
      </c>
      <c r="I9" s="17">
        <f>SUM(H9/H37)</f>
        <v>0.07552184155124228</v>
      </c>
      <c r="J9" s="16">
        <f>'[2]APR-07'!$AD$98*'[1]APRIL 07'!$AX8</f>
        <v>20.42229837865013</v>
      </c>
      <c r="K9" s="17">
        <f>SUM(J9/J37)</f>
        <v>0.07586240263196091</v>
      </c>
      <c r="L9" s="16">
        <f>'[2]MAY-07'!$AF$98*'[1]MAY 07'!$AZ8</f>
        <v>31.56976847509502</v>
      </c>
      <c r="M9" s="17">
        <f>SUM(L9/L37)</f>
        <v>0.08880330747012516</v>
      </c>
      <c r="N9" s="16">
        <f>'2007 WO chip'!N9</f>
        <v>30.914437573208048</v>
      </c>
      <c r="O9" s="17">
        <f>SUM(N9/N37)</f>
        <v>0.0913938404828566</v>
      </c>
      <c r="P9" s="12">
        <v>3</v>
      </c>
      <c r="Q9" s="5" t="s">
        <v>18</v>
      </c>
      <c r="R9" s="16">
        <f>'[2]JUL-07'!$AE$98*'[1]JULY 07'!$AY8</f>
        <v>24.36015079648315</v>
      </c>
      <c r="S9" s="17">
        <f>SUM(R9/R37)</f>
        <v>0.07173338298268479</v>
      </c>
      <c r="T9" s="16">
        <f>'[2]AUG-07'!$AF$102*'[1]AUG 07'!$AY8</f>
        <v>28.25566553321256</v>
      </c>
      <c r="U9" s="17">
        <f>SUM(T9/T37)</f>
        <v>0.08468224828042051</v>
      </c>
      <c r="V9" s="67">
        <v>0</v>
      </c>
      <c r="W9" s="17" t="e">
        <f>SUM(V9/V37)</f>
        <v>#DIV/0!</v>
      </c>
      <c r="X9" s="67">
        <v>0</v>
      </c>
      <c r="Y9" s="17" t="e">
        <f>SUM(X9/X37)</f>
        <v>#DIV/0!</v>
      </c>
      <c r="Z9" s="67">
        <v>0</v>
      </c>
      <c r="AA9" s="17" t="e">
        <f>SUM(Z9/Z37)</f>
        <v>#DIV/0!</v>
      </c>
      <c r="AB9" s="67">
        <v>0</v>
      </c>
      <c r="AC9" s="17" t="e">
        <f>SUM(AB9/AB37)</f>
        <v>#DIV/0!</v>
      </c>
      <c r="AD9" s="16">
        <f t="shared" si="0"/>
        <v>201.40788376809007</v>
      </c>
      <c r="AE9" s="1"/>
      <c r="AF9" s="61"/>
    </row>
    <row r="10" spans="1:32" s="32" customFormat="1" ht="12.75">
      <c r="A10" s="12"/>
      <c r="B10" s="5"/>
      <c r="C10" s="15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2"/>
      <c r="Q10" s="5"/>
      <c r="R10" s="16"/>
      <c r="S10" s="17"/>
      <c r="T10" s="16"/>
      <c r="U10" s="17"/>
      <c r="V10" s="67">
        <v>0</v>
      </c>
      <c r="W10" s="17"/>
      <c r="X10" s="67">
        <v>0</v>
      </c>
      <c r="Y10" s="17"/>
      <c r="Z10" s="67">
        <v>0</v>
      </c>
      <c r="AA10" s="17"/>
      <c r="AB10" s="67">
        <v>0</v>
      </c>
      <c r="AC10" s="17"/>
      <c r="AD10" s="16"/>
      <c r="AE10" s="1"/>
      <c r="AF10" s="61"/>
    </row>
    <row r="11" spans="1:32" s="32" customFormat="1" ht="12.75">
      <c r="A11" s="12">
        <v>4</v>
      </c>
      <c r="B11" s="5" t="s">
        <v>1</v>
      </c>
      <c r="C11" s="15">
        <v>1620</v>
      </c>
      <c r="D11" s="16">
        <f>'[2]JAN-07'!$AE$81*'[1]JAN 07'!$AY10</f>
        <v>88.62937101227895</v>
      </c>
      <c r="E11" s="17">
        <f>SUM(D11/D37)</f>
        <v>0.3057881172946994</v>
      </c>
      <c r="F11" s="16">
        <f>'[2]FEB-07'!$AD$93*'[1]FEB 07'!$AW10</f>
        <v>88.15402906375887</v>
      </c>
      <c r="G11" s="17">
        <f>SUM(F11/F37)</f>
        <v>0.3296232946116619</v>
      </c>
      <c r="H11" s="16">
        <f>'[2]MAR-07'!$AE$103*'[1]MARCH 07'!$AZ10</f>
        <v>94.81120074292572</v>
      </c>
      <c r="I11" s="17">
        <f>SUM(H11/H37)</f>
        <v>0.30867045732523585</v>
      </c>
      <c r="J11" s="16">
        <f>'[2]APR-07'!$AD$98*'[1]APRIL 07'!$AX10</f>
        <v>86.93022212912146</v>
      </c>
      <c r="K11" s="17">
        <f>SUM(J11/J37)</f>
        <v>0.32291838018288266</v>
      </c>
      <c r="L11" s="16">
        <f>'[2]MAY-07'!$AF$98*'[1]MAY 07'!$AZ10</f>
        <v>104.37352026459988</v>
      </c>
      <c r="M11" s="17">
        <f>SUM(L11/L37)</f>
        <v>0.2935946083706179</v>
      </c>
      <c r="N11" s="16">
        <f>'2007 WO chip'!N11</f>
        <v>94.22811945035706</v>
      </c>
      <c r="O11" s="17">
        <f>SUM(N11/N37)</f>
        <v>0.2785711270875248</v>
      </c>
      <c r="P11" s="12">
        <v>4</v>
      </c>
      <c r="Q11" s="5" t="s">
        <v>1</v>
      </c>
      <c r="R11" s="16">
        <f>'[2]JUL-07'!$AE$98*'[1]JULY 07'!$AY10</f>
        <v>100.15178275962757</v>
      </c>
      <c r="S11" s="17">
        <f>SUM(R11/R37)</f>
        <v>0.29491714764475885</v>
      </c>
      <c r="T11" s="16">
        <f>'[2]AUG-07'!$AF$102*'[1]AUG 07'!$AY10</f>
        <v>94.03038863354149</v>
      </c>
      <c r="U11" s="17">
        <f>SUM(T11/T37)</f>
        <v>0.2818091368901004</v>
      </c>
      <c r="V11" s="67">
        <v>0</v>
      </c>
      <c r="W11" s="17" t="e">
        <f>SUM(V11/V37)</f>
        <v>#DIV/0!</v>
      </c>
      <c r="X11" s="67">
        <v>0</v>
      </c>
      <c r="Y11" s="17" t="e">
        <f>SUM(X11/X37)</f>
        <v>#DIV/0!</v>
      </c>
      <c r="Z11" s="67">
        <v>0</v>
      </c>
      <c r="AA11" s="17" t="e">
        <f>SUM(Z11/Z37)</f>
        <v>#DIV/0!</v>
      </c>
      <c r="AB11" s="67">
        <v>0</v>
      </c>
      <c r="AC11" s="17" t="e">
        <f>SUM(AB11/AB37)</f>
        <v>#DIV/0!</v>
      </c>
      <c r="AD11" s="16">
        <f t="shared" si="0"/>
        <v>751.308634056211</v>
      </c>
      <c r="AE11" s="1"/>
      <c r="AF11" s="61"/>
    </row>
    <row r="12" spans="1:32" s="32" customFormat="1" ht="12.75">
      <c r="A12" s="12"/>
      <c r="B12" s="5"/>
      <c r="C12" s="15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2"/>
      <c r="Q12" s="5"/>
      <c r="R12" s="16"/>
      <c r="S12" s="17"/>
      <c r="T12" s="16"/>
      <c r="U12" s="17"/>
      <c r="V12" s="67">
        <v>0</v>
      </c>
      <c r="W12" s="17"/>
      <c r="X12" s="67">
        <v>0</v>
      </c>
      <c r="Y12" s="17"/>
      <c r="Z12" s="67">
        <v>0</v>
      </c>
      <c r="AA12" s="17"/>
      <c r="AB12" s="67">
        <v>0</v>
      </c>
      <c r="AC12" s="17"/>
      <c r="AD12" s="16"/>
      <c r="AE12" s="1"/>
      <c r="AF12" s="61"/>
    </row>
    <row r="13" spans="1:32" s="32" customFormat="1" ht="12.75">
      <c r="A13" s="12">
        <v>5</v>
      </c>
      <c r="B13" s="5" t="s">
        <v>2</v>
      </c>
      <c r="C13" s="15">
        <v>1900</v>
      </c>
      <c r="D13" s="16">
        <f>'[2]JAN-07'!$AE$81*'[1]JAN 07'!$AY12</f>
        <v>0</v>
      </c>
      <c r="E13" s="17">
        <f>SUM(D13/D37)</f>
        <v>0</v>
      </c>
      <c r="F13" s="16">
        <f>'[2]FEB-07'!$AD$93*'[1]FEB 07'!$AW12</f>
        <v>0</v>
      </c>
      <c r="G13" s="17">
        <f>SUM(F13/F37)</f>
        <v>0</v>
      </c>
      <c r="H13" s="16">
        <f>'[2]MAR-07'!$AE$103*'[1]MARCH 07'!$AZ12</f>
        <v>0</v>
      </c>
      <c r="I13" s="17">
        <f>SUM(H13/H37)</f>
        <v>0</v>
      </c>
      <c r="J13" s="16">
        <f>'[2]APR-07'!$AD$98*'[1]APRIL 07'!$AX12</f>
        <v>0</v>
      </c>
      <c r="K13" s="17">
        <f>SUM(J13/J37)</f>
        <v>0</v>
      </c>
      <c r="L13" s="16">
        <f>'[2]MAY-07'!$AF$98*'[1]MAY 07'!$AZ12</f>
        <v>0</v>
      </c>
      <c r="M13" s="17">
        <f>SUM(L13/L37)</f>
        <v>0</v>
      </c>
      <c r="N13" s="16">
        <f>'2007 WO chip'!N13</f>
        <v>0</v>
      </c>
      <c r="O13" s="17">
        <f>SUM(N13/N37)</f>
        <v>0</v>
      </c>
      <c r="P13" s="12">
        <v>5</v>
      </c>
      <c r="Q13" s="5" t="s">
        <v>2</v>
      </c>
      <c r="R13" s="16">
        <f>'[2]JUL-07'!$AE$98*'[1]JULY 07'!$AY12</f>
        <v>0</v>
      </c>
      <c r="S13" s="17">
        <f>SUM(R13/R37)</f>
        <v>0</v>
      </c>
      <c r="T13" s="16">
        <f>'[2]AUG-07'!$AF$102*'[1]AUG 07'!$AY12</f>
        <v>0.4699015598313006</v>
      </c>
      <c r="U13" s="17">
        <f>SUM(T13/T37)</f>
        <v>0.0014082952854257839</v>
      </c>
      <c r="V13" s="67">
        <v>0</v>
      </c>
      <c r="W13" s="17" t="e">
        <f>SUM(V13/V37)</f>
        <v>#DIV/0!</v>
      </c>
      <c r="X13" s="67">
        <v>0</v>
      </c>
      <c r="Y13" s="17" t="e">
        <f>SUM(X13/X37)</f>
        <v>#DIV/0!</v>
      </c>
      <c r="Z13" s="67">
        <v>0</v>
      </c>
      <c r="AA13" s="17" t="e">
        <f>SUM(Z13/Z37)</f>
        <v>#DIV/0!</v>
      </c>
      <c r="AB13" s="67">
        <v>0</v>
      </c>
      <c r="AC13" s="17" t="e">
        <f>SUM(AB13/AB37)</f>
        <v>#DIV/0!</v>
      </c>
      <c r="AD13" s="16">
        <f t="shared" si="0"/>
        <v>0.4699015598313006</v>
      </c>
      <c r="AE13" s="1"/>
      <c r="AF13" s="61"/>
    </row>
    <row r="14" spans="1:32" s="32" customFormat="1" ht="12.75">
      <c r="A14" s="12"/>
      <c r="B14" s="5"/>
      <c r="C14" s="15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2"/>
      <c r="Q14" s="5"/>
      <c r="R14" s="16"/>
      <c r="S14" s="17"/>
      <c r="T14" s="16"/>
      <c r="U14" s="17"/>
      <c r="V14" s="67">
        <v>0</v>
      </c>
      <c r="W14" s="17"/>
      <c r="X14" s="67">
        <v>0</v>
      </c>
      <c r="Y14" s="17"/>
      <c r="Z14" s="67">
        <v>0</v>
      </c>
      <c r="AA14" s="17"/>
      <c r="AB14" s="67">
        <v>0</v>
      </c>
      <c r="AC14" s="17"/>
      <c r="AD14" s="16"/>
      <c r="AE14" s="1"/>
      <c r="AF14" s="61"/>
    </row>
    <row r="15" spans="1:32" s="32" customFormat="1" ht="12.75">
      <c r="A15" s="12">
        <v>6</v>
      </c>
      <c r="B15" s="5" t="s">
        <v>3</v>
      </c>
      <c r="C15" s="15">
        <v>1300</v>
      </c>
      <c r="D15" s="16">
        <f>'[2]JAN-07'!$AE$81*'[1]JAN 07'!$AY14</f>
        <v>0</v>
      </c>
      <c r="E15" s="17">
        <f>SUM(D15/D37)</f>
        <v>0</v>
      </c>
      <c r="F15" s="16">
        <f>'[2]FEB-07'!$AD$93*'[1]FEB 07'!$AW14</f>
        <v>0.8455086157804821</v>
      </c>
      <c r="G15" s="17">
        <f>SUM(F15/F37)</f>
        <v>0.003161504227498602</v>
      </c>
      <c r="H15" s="16">
        <f>'[2]MAR-07'!$AE$103*'[1]MARCH 07'!$AZ14</f>
        <v>0.00014790885139713002</v>
      </c>
      <c r="I15" s="17">
        <f>SUM(H15/H37)</f>
        <v>4.815369117304318E-07</v>
      </c>
      <c r="J15" s="16">
        <f>'[2]APR-07'!$AD$98*'[1]APRIL 07'!$AX14</f>
        <v>1.3545401985839374</v>
      </c>
      <c r="K15" s="17">
        <f>SUM(J15/J37)</f>
        <v>0.005031689970487204</v>
      </c>
      <c r="L15" s="16">
        <f>'[2]MAY-07'!$AF$98*'[1]MAY 07'!$AZ14</f>
        <v>0.6543478797452732</v>
      </c>
      <c r="M15" s="17">
        <f>SUM(L15/L37)</f>
        <v>0.0018406297785580792</v>
      </c>
      <c r="N15" s="16">
        <f>'2007 WO chip'!N15</f>
        <v>1.237338942277416</v>
      </c>
      <c r="O15" s="17">
        <f>SUM(N15/N37)</f>
        <v>0.003658004699129114</v>
      </c>
      <c r="P15" s="12">
        <v>6</v>
      </c>
      <c r="Q15" s="5" t="s">
        <v>3</v>
      </c>
      <c r="R15" s="16">
        <f>'[2]JUL-07'!$AE$98*'[1]JULY 07'!$AY14</f>
        <v>0.6575622100379588</v>
      </c>
      <c r="S15" s="17">
        <f>SUM(R15/R37)</f>
        <v>0.001936324706758518</v>
      </c>
      <c r="T15" s="16">
        <f>'[2]AUG-07'!$AF$102*'[1]AUG 07'!$AY14</f>
        <v>0.9645347807063538</v>
      </c>
      <c r="U15" s="17">
        <f>SUM(T15/T37)</f>
        <v>0.0028907113753476616</v>
      </c>
      <c r="V15" s="67">
        <v>0</v>
      </c>
      <c r="W15" s="17" t="e">
        <f>SUM(V15/V37)</f>
        <v>#DIV/0!</v>
      </c>
      <c r="X15" s="67">
        <v>0</v>
      </c>
      <c r="Y15" s="17" t="e">
        <f>SUM(X15/X37)</f>
        <v>#DIV/0!</v>
      </c>
      <c r="Z15" s="67">
        <v>0</v>
      </c>
      <c r="AA15" s="17" t="e">
        <f>SUM(Z15/Z37)</f>
        <v>#DIV/0!</v>
      </c>
      <c r="AB15" s="67">
        <v>0</v>
      </c>
      <c r="AC15" s="17" t="e">
        <f>SUM(AB15/AB37)</f>
        <v>#DIV/0!</v>
      </c>
      <c r="AD15" s="16">
        <f t="shared" si="0"/>
        <v>5.713980535982818</v>
      </c>
      <c r="AE15" s="1"/>
      <c r="AF15" s="61" t="s">
        <v>0</v>
      </c>
    </row>
    <row r="16" spans="1:32" s="32" customFormat="1" ht="12.75">
      <c r="A16" s="12"/>
      <c r="B16" s="5"/>
      <c r="C16" s="15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2"/>
      <c r="Q16" s="5"/>
      <c r="R16" s="16"/>
      <c r="S16" s="17"/>
      <c r="T16" s="16"/>
      <c r="U16" s="17"/>
      <c r="V16" s="67">
        <v>0</v>
      </c>
      <c r="W16" s="17"/>
      <c r="X16" s="67">
        <v>0</v>
      </c>
      <c r="Y16" s="17"/>
      <c r="Z16" s="67">
        <v>0</v>
      </c>
      <c r="AA16" s="17"/>
      <c r="AB16" s="67">
        <v>0</v>
      </c>
      <c r="AC16" s="17"/>
      <c r="AD16" s="16"/>
      <c r="AE16" s="1"/>
      <c r="AF16" s="61"/>
    </row>
    <row r="17" spans="1:32" s="32" customFormat="1" ht="12.75">
      <c r="A17" s="12">
        <v>7</v>
      </c>
      <c r="B17" s="5" t="s">
        <v>4</v>
      </c>
      <c r="C17" s="15">
        <v>1400</v>
      </c>
      <c r="D17" s="16">
        <f>'[2]JAN-07'!$AE$81*'[1]JAN 07'!$AY16</f>
        <v>3.3915845132483406</v>
      </c>
      <c r="E17" s="17">
        <f>SUM(D17/D37)</f>
        <v>0.011701608971233544</v>
      </c>
      <c r="F17" s="16">
        <f>'[2]FEB-07'!$AD$93*'[1]FEB 07'!$AW16</f>
        <v>3.94570687364225</v>
      </c>
      <c r="G17" s="17">
        <f>SUM(F17/F37)</f>
        <v>0.014753686394993476</v>
      </c>
      <c r="H17" s="16">
        <f>'[2]MAR-07'!$AE$103*'[1]MARCH 07'!$AZ16</f>
        <v>4.3498514107381965</v>
      </c>
      <c r="I17" s="17">
        <f>SUM(H17/H37)</f>
        <v>0.014161519037080269</v>
      </c>
      <c r="J17" s="16">
        <f>'[2]APR-07'!$AD$98*'[1]APRIL 07'!$AX16</f>
        <v>4.376206795425029</v>
      </c>
      <c r="K17" s="17">
        <f>SUM(J17/J37)</f>
        <v>0.0162562291354202</v>
      </c>
      <c r="L17" s="16">
        <f>'[2]MAY-07'!$AF$98*'[1]MAY 07'!$AZ16</f>
        <v>3.5234116601668553</v>
      </c>
      <c r="M17" s="17">
        <f>SUM(L17/L37)</f>
        <v>0.00991108342300504</v>
      </c>
      <c r="N17" s="16">
        <f>'2007 WO chip'!N17</f>
        <v>6.329464589342166</v>
      </c>
      <c r="O17" s="17">
        <f>SUM(N17/N37)</f>
        <v>0.018712100960929696</v>
      </c>
      <c r="P17" s="12">
        <v>7</v>
      </c>
      <c r="Q17" s="5" t="s">
        <v>4</v>
      </c>
      <c r="R17" s="16">
        <f>'[2]JUL-07'!$AE$98*'[1]JULY 07'!$AY16</f>
        <v>3.540719592512086</v>
      </c>
      <c r="S17" s="17">
        <f>SUM(R17/R37)</f>
        <v>0.010426363805622788</v>
      </c>
      <c r="T17" s="16">
        <f>'[2]AUG-07'!$AF$102*'[1]AUG 07'!$AY16</f>
        <v>6.579660567402046</v>
      </c>
      <c r="U17" s="17">
        <f>SUM(T17/T37)</f>
        <v>0.01971924706974981</v>
      </c>
      <c r="V17" s="67">
        <v>0</v>
      </c>
      <c r="W17" s="17" t="e">
        <f>SUM(V17/V37)</f>
        <v>#DIV/0!</v>
      </c>
      <c r="X17" s="67">
        <v>0</v>
      </c>
      <c r="Y17" s="17" t="e">
        <f>SUM(X17/X37)</f>
        <v>#DIV/0!</v>
      </c>
      <c r="Z17" s="67">
        <v>0</v>
      </c>
      <c r="AA17" s="17" t="e">
        <f>SUM(Z17/Z37)</f>
        <v>#DIV/0!</v>
      </c>
      <c r="AB17" s="67">
        <v>0</v>
      </c>
      <c r="AC17" s="17" t="e">
        <f>SUM(AB17/AB37)</f>
        <v>#DIV/0!</v>
      </c>
      <c r="AD17" s="16">
        <f t="shared" si="0"/>
        <v>36.036606002476965</v>
      </c>
      <c r="AE17" s="1"/>
      <c r="AF17" s="61"/>
    </row>
    <row r="18" spans="1:32" s="32" customFormat="1" ht="12.75">
      <c r="A18" s="12"/>
      <c r="B18" s="5"/>
      <c r="C18" s="15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2"/>
      <c r="Q18" s="5"/>
      <c r="R18" s="16"/>
      <c r="S18" s="17"/>
      <c r="T18" s="16"/>
      <c r="U18" s="17"/>
      <c r="V18" s="67">
        <v>0</v>
      </c>
      <c r="W18" s="17"/>
      <c r="X18" s="67">
        <v>0</v>
      </c>
      <c r="Y18" s="17"/>
      <c r="Z18" s="67">
        <v>0</v>
      </c>
      <c r="AA18" s="17"/>
      <c r="AB18" s="67">
        <v>0</v>
      </c>
      <c r="AC18" s="17"/>
      <c r="AD18" s="16"/>
      <c r="AE18" s="1"/>
      <c r="AF18" s="61"/>
    </row>
    <row r="19" spans="1:32" s="32" customFormat="1" ht="12.75">
      <c r="A19" s="12">
        <v>8</v>
      </c>
      <c r="B19" s="5" t="s">
        <v>5</v>
      </c>
      <c r="C19" s="15">
        <v>1860</v>
      </c>
      <c r="D19" s="16">
        <f>'[2]JAN-07'!$AE$81*'[1]JAN 07'!$AY18</f>
        <v>6.383446566006698</v>
      </c>
      <c r="E19" s="17">
        <f>SUM(D19/D37)</f>
        <v>0.022024099742285988</v>
      </c>
      <c r="F19" s="16">
        <f>'[2]FEB-07'!$AD$93*'[1]FEB 07'!$AW18</f>
        <v>7.258366270853983</v>
      </c>
      <c r="G19" s="17">
        <f>SUM(F19/F37)</f>
        <v>0.027140297829911068</v>
      </c>
      <c r="H19" s="16">
        <f>'[2]MAR-07'!$AE$103*'[1]MARCH 07'!$AZ18</f>
        <v>7.980126259429356</v>
      </c>
      <c r="I19" s="17">
        <f>SUM(H19/H37)</f>
        <v>0.025980360998591988</v>
      </c>
      <c r="J19" s="16">
        <f>'[2]APR-07'!$AD$98*'[1]APRIL 07'!$AX18</f>
        <v>4.360577485441366</v>
      </c>
      <c r="K19" s="17">
        <f>SUM(J19/J37)</f>
        <v>0.016198171174222262</v>
      </c>
      <c r="L19" s="16">
        <f>'[2]MAY-07'!$AF$98*'[1]MAY 07'!$AZ18</f>
        <v>7.957876906748283</v>
      </c>
      <c r="M19" s="17">
        <f>SUM(L19/L37)</f>
        <v>0.0223848898453871</v>
      </c>
      <c r="N19" s="16">
        <f>'2007 WO chip'!N19</f>
        <v>6.196212703250752</v>
      </c>
      <c r="O19" s="17">
        <f>SUM(N19/N37)</f>
        <v>0.018318161993331177</v>
      </c>
      <c r="P19" s="12">
        <v>8</v>
      </c>
      <c r="Q19" s="5" t="s">
        <v>5</v>
      </c>
      <c r="R19" s="16">
        <f>'[2]JUL-07'!$AE$98*'[1]JULY 07'!$AY18</f>
        <v>6.585738442072479</v>
      </c>
      <c r="S19" s="17">
        <f>SUM(R19/R37)</f>
        <v>0.019393036678458386</v>
      </c>
      <c r="T19" s="16">
        <f>'[2]AUG-07'!$AF$102*'[1]AUG 07'!$AY18</f>
        <v>7.360602335516206</v>
      </c>
      <c r="U19" s="17">
        <f>SUM(T19/T37)</f>
        <v>0.022059730065001167</v>
      </c>
      <c r="V19" s="67">
        <v>0</v>
      </c>
      <c r="W19" s="17" t="e">
        <f>SUM(V19/V37)</f>
        <v>#DIV/0!</v>
      </c>
      <c r="X19" s="67">
        <v>0</v>
      </c>
      <c r="Y19" s="17" t="e">
        <f>SUM(X19/X37)</f>
        <v>#DIV/0!</v>
      </c>
      <c r="Z19" s="67">
        <v>0</v>
      </c>
      <c r="AA19" s="17" t="e">
        <f>SUM(Z19/Z37)</f>
        <v>#DIV/0!</v>
      </c>
      <c r="AB19" s="67">
        <v>0</v>
      </c>
      <c r="AC19" s="17" t="e">
        <f>SUM(AB19/AB37)</f>
        <v>#DIV/0!</v>
      </c>
      <c r="AD19" s="16">
        <f t="shared" si="0"/>
        <v>54.082946969319124</v>
      </c>
      <c r="AE19" s="1"/>
      <c r="AF19" s="61"/>
    </row>
    <row r="20" spans="1:32" s="32" customFormat="1" ht="12.75">
      <c r="A20" s="12"/>
      <c r="B20" s="5"/>
      <c r="C20" s="15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2"/>
      <c r="Q20" s="5"/>
      <c r="R20" s="16"/>
      <c r="S20" s="17"/>
      <c r="T20" s="16"/>
      <c r="U20" s="17"/>
      <c r="V20" s="67">
        <v>0</v>
      </c>
      <c r="W20" s="17"/>
      <c r="X20" s="67">
        <v>0</v>
      </c>
      <c r="Y20" s="17"/>
      <c r="Z20" s="67">
        <v>0</v>
      </c>
      <c r="AA20" s="17"/>
      <c r="AB20" s="67">
        <v>0</v>
      </c>
      <c r="AC20" s="17"/>
      <c r="AD20" s="16"/>
      <c r="AE20" s="1"/>
      <c r="AF20" s="61"/>
    </row>
    <row r="21" spans="1:32" s="32" customFormat="1" ht="12.75">
      <c r="A21" s="12">
        <v>9</v>
      </c>
      <c r="B21" s="5" t="s">
        <v>6</v>
      </c>
      <c r="C21" s="15">
        <v>940</v>
      </c>
      <c r="D21" s="16">
        <f>'[2]JAN-07'!$AE$81*'[1]JAN 07'!$AY20</f>
        <v>2.466973973327067</v>
      </c>
      <c r="E21" s="17">
        <f>SUM(D21/D37)</f>
        <v>0.00851152747788535</v>
      </c>
      <c r="F21" s="16">
        <f>'[2]FEB-07'!$AD$93*'[1]FEB 07'!$AW20</f>
        <v>2.4454710733343172</v>
      </c>
      <c r="G21" s="17">
        <f>SUM(F21/F37)</f>
        <v>0.009144042996457494</v>
      </c>
      <c r="H21" s="16">
        <f>'[2]MAR-07'!$AE$103*'[1]MARCH 07'!$AZ20</f>
        <v>2.3649146249887116</v>
      </c>
      <c r="I21" s="17">
        <f>SUM(H21/H37)</f>
        <v>0.007699293681657874</v>
      </c>
      <c r="J21" s="16">
        <f>'[2]APR-07'!$AD$98*'[1]APRIL 07'!$AX20</f>
        <v>1.714014328208136</v>
      </c>
      <c r="K21" s="17">
        <f>SUM(J21/J37)</f>
        <v>0.006367023078039577</v>
      </c>
      <c r="L21" s="16">
        <f>'[2]MAY-07'!$AF$98*'[1]MAY 07'!$AZ20</f>
        <v>1.8925754060324822</v>
      </c>
      <c r="M21" s="17">
        <f>SUM(L21/L37)</f>
        <v>0.005323667667214136</v>
      </c>
      <c r="N21" s="16">
        <f>'2007 WO chip'!N21</f>
        <v>4.026110558333438</v>
      </c>
      <c r="O21" s="17">
        <f>SUM(N21/N37)</f>
        <v>0.011902584521012425</v>
      </c>
      <c r="P21" s="12">
        <v>9</v>
      </c>
      <c r="Q21" s="5" t="s">
        <v>6</v>
      </c>
      <c r="R21" s="16">
        <f>'[2]JUL-07'!$AE$98*'[1]JULY 07'!$AY20</f>
        <v>3.8037444765272688</v>
      </c>
      <c r="S21" s="17">
        <f>SUM(R21/R37)</f>
        <v>0.011200893688326195</v>
      </c>
      <c r="T21" s="16">
        <f>'[2]AUG-07'!$AF$102*'[1]AUG 07'!$AY20</f>
        <v>3.0227901735811034</v>
      </c>
      <c r="U21" s="17">
        <f>SUM(T21/T37)</f>
        <v>0.009059304148328331</v>
      </c>
      <c r="V21" s="67">
        <v>0</v>
      </c>
      <c r="W21" s="17" t="e">
        <f>SUM(V21/V37)</f>
        <v>#DIV/0!</v>
      </c>
      <c r="X21" s="67">
        <v>0</v>
      </c>
      <c r="Y21" s="17" t="e">
        <f>SUM(X21/X37)</f>
        <v>#DIV/0!</v>
      </c>
      <c r="Z21" s="67">
        <v>0</v>
      </c>
      <c r="AA21" s="17" t="e">
        <f>SUM(Z21/Z37)</f>
        <v>#DIV/0!</v>
      </c>
      <c r="AB21" s="67">
        <v>0</v>
      </c>
      <c r="AC21" s="17" t="e">
        <f>SUM(AB21/AB37)</f>
        <v>#DIV/0!</v>
      </c>
      <c r="AD21" s="16">
        <f t="shared" si="0"/>
        <v>21.736594614332525</v>
      </c>
      <c r="AE21" s="1"/>
      <c r="AF21" s="61"/>
    </row>
    <row r="22" spans="1:32" s="32" customFormat="1" ht="12.75">
      <c r="A22" s="12"/>
      <c r="B22" s="5"/>
      <c r="C22" s="15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2"/>
      <c r="Q22" s="5"/>
      <c r="R22" s="16"/>
      <c r="S22" s="17"/>
      <c r="T22" s="16"/>
      <c r="U22" s="17"/>
      <c r="V22" s="67">
        <v>0</v>
      </c>
      <c r="W22" s="17"/>
      <c r="X22" s="67">
        <v>0</v>
      </c>
      <c r="Y22" s="17"/>
      <c r="Z22" s="67">
        <v>0</v>
      </c>
      <c r="AA22" s="17"/>
      <c r="AB22" s="67">
        <v>0</v>
      </c>
      <c r="AC22" s="17"/>
      <c r="AD22" s="16"/>
      <c r="AE22" s="1"/>
      <c r="AF22" s="61"/>
    </row>
    <row r="23" spans="1:32" s="32" customFormat="1" ht="12.75">
      <c r="A23" s="12">
        <v>10</v>
      </c>
      <c r="B23" s="5" t="s">
        <v>7</v>
      </c>
      <c r="C23" s="15">
        <v>1060</v>
      </c>
      <c r="D23" s="16">
        <f>'[2]JAN-07'!$AE$81*'[1]JAN 07'!$AY22</f>
        <v>6.419784971505788</v>
      </c>
      <c r="E23" s="17">
        <f>SUM(D23/D37)</f>
        <v>0.022149474124120636</v>
      </c>
      <c r="F23" s="16">
        <f>'[2]FEB-07'!$AD$93*'[1]FEB 07'!$AW22</f>
        <v>5.745122645687892</v>
      </c>
      <c r="G23" s="17">
        <f>SUM(F23/F37)</f>
        <v>0.021482015904798195</v>
      </c>
      <c r="H23" s="16">
        <f>'[2]MAR-07'!$AE$103*'[1]MARCH 07'!$AZ22</f>
        <v>6.7449394414119235</v>
      </c>
      <c r="I23" s="17">
        <f>SUM(H23/H37)</f>
        <v>0.021959046248731153</v>
      </c>
      <c r="J23" s="16">
        <f>'[2]APR-07'!$AD$98*'[1]APRIL 07'!$AX22</f>
        <v>6.074591813649503</v>
      </c>
      <c r="K23" s="17">
        <f>SUM(J23/J37)</f>
        <v>0.022565194252261844</v>
      </c>
      <c r="L23" s="16">
        <f>'[2]MAY-07'!$AF$98*'[1]MAY 07'!$AZ22</f>
        <v>9.070268302315247</v>
      </c>
      <c r="M23" s="17">
        <f>SUM(L23/L37)</f>
        <v>0.02551396046893583</v>
      </c>
      <c r="N23" s="16">
        <f>'2007 WO chip'!N23</f>
        <v>8.071257100394222</v>
      </c>
      <c r="O23" s="17">
        <f>SUM(N23/N37)</f>
        <v>0.023861446037396067</v>
      </c>
      <c r="P23" s="12">
        <v>10</v>
      </c>
      <c r="Q23" s="5" t="s">
        <v>7</v>
      </c>
      <c r="R23" s="16">
        <f>'[2]JUL-07'!$AE$98*'[1]JULY 07'!$AY22</f>
        <v>10.187156084741915</v>
      </c>
      <c r="S23" s="17">
        <f>SUM(R23/R37)</f>
        <v>0.02999813814932042</v>
      </c>
      <c r="T23" s="16">
        <f>'[2]AUG-07'!$AF$102*'[1]AUG 07'!$AY22</f>
        <v>8.914208184793182</v>
      </c>
      <c r="U23" s="17">
        <f>SUM(T23/T37)</f>
        <v>0.02671588782223904</v>
      </c>
      <c r="V23" s="67">
        <v>0</v>
      </c>
      <c r="W23" s="17" t="e">
        <f>SUM(V23/V37)</f>
        <v>#DIV/0!</v>
      </c>
      <c r="X23" s="67">
        <v>0</v>
      </c>
      <c r="Y23" s="17" t="e">
        <f>SUM(X23/X37)</f>
        <v>#DIV/0!</v>
      </c>
      <c r="Z23" s="67">
        <v>0</v>
      </c>
      <c r="AA23" s="17" t="e">
        <f>SUM(Z23/Z37)</f>
        <v>#DIV/0!</v>
      </c>
      <c r="AB23" s="67">
        <v>0</v>
      </c>
      <c r="AC23" s="17" t="e">
        <f>SUM(AB23/AB37)</f>
        <v>#DIV/0!</v>
      </c>
      <c r="AD23" s="16">
        <f t="shared" si="0"/>
        <v>61.22732854449967</v>
      </c>
      <c r="AE23" s="1"/>
      <c r="AF23" s="61"/>
    </row>
    <row r="24" spans="1:32" s="32" customFormat="1" ht="12.75">
      <c r="A24" s="12"/>
      <c r="B24" s="5"/>
      <c r="C24" s="15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2"/>
      <c r="Q24" s="5"/>
      <c r="R24" s="16"/>
      <c r="S24" s="17"/>
      <c r="T24" s="16"/>
      <c r="U24" s="17"/>
      <c r="V24" s="67">
        <v>0</v>
      </c>
      <c r="W24" s="17"/>
      <c r="X24" s="67">
        <v>0</v>
      </c>
      <c r="Y24" s="17"/>
      <c r="Z24" s="67">
        <v>0</v>
      </c>
      <c r="AA24" s="17"/>
      <c r="AB24" s="67">
        <v>0</v>
      </c>
      <c r="AC24" s="17"/>
      <c r="AD24" s="16"/>
      <c r="AE24" s="1"/>
      <c r="AF24" s="61"/>
    </row>
    <row r="25" spans="1:32" s="32" customFormat="1" ht="12.75">
      <c r="A25" s="12">
        <v>11</v>
      </c>
      <c r="B25" s="5" t="s">
        <v>8</v>
      </c>
      <c r="C25" s="15">
        <v>1300</v>
      </c>
      <c r="D25" s="16">
        <f>'[2]JAN-07'!$AE$81*'[1]JAN 07'!$AY24</f>
        <v>4.461548675165972</v>
      </c>
      <c r="E25" s="17">
        <f>SUM(D25/D37)</f>
        <v>0.015393187991920314</v>
      </c>
      <c r="F25" s="16">
        <f>'[2]FEB-07'!$AD$93*'[1]FEB 07'!$AW24</f>
        <v>3.94570687364225</v>
      </c>
      <c r="G25" s="17">
        <f>SUM(F25/F37)</f>
        <v>0.014753686394993476</v>
      </c>
      <c r="H25" s="16">
        <f>'[2]MAR-07'!$AE$103*'[1]MARCH 07'!$AZ24</f>
        <v>3.2701167955391477</v>
      </c>
      <c r="I25" s="17">
        <f>SUM(H25/H37)</f>
        <v>0.010646299581448119</v>
      </c>
      <c r="J25" s="16">
        <f>'[2]APR-07'!$AD$98*'[1]APRIL 07'!$AX24</f>
        <v>4.402255645397796</v>
      </c>
      <c r="K25" s="17">
        <f>SUM(J25/J37)</f>
        <v>0.016352992404083413</v>
      </c>
      <c r="L25" s="16">
        <f>'[2]MAY-07'!$AF$98*'[1]MAY 07'!$AZ24</f>
        <v>5.5619569778348215</v>
      </c>
      <c r="M25" s="17">
        <f>SUM(L25/L37)</f>
        <v>0.01564535311774367</v>
      </c>
      <c r="N25" s="16">
        <f>'2007 WO chip'!N25</f>
        <v>3.7120168268322473</v>
      </c>
      <c r="O25" s="17">
        <f>SUM(N25/N37)</f>
        <v>0.01097401409738734</v>
      </c>
      <c r="P25" s="12">
        <v>11</v>
      </c>
      <c r="Q25" s="5" t="s">
        <v>8</v>
      </c>
      <c r="R25" s="16">
        <f>'[2]JUL-07'!$AE$98*'[1]JULY 07'!$AY24</f>
        <v>3.9453732602277527</v>
      </c>
      <c r="S25" s="17">
        <f>SUM(R25/R37)</f>
        <v>0.011617948240551108</v>
      </c>
      <c r="T25" s="16">
        <f>'[2]AUG-07'!$AF$102*'[1]AUG 07'!$AY24</f>
        <v>5.4661793580596925</v>
      </c>
      <c r="U25" s="17">
        <f>SUM(T25/T37)</f>
        <v>0.016382143149324426</v>
      </c>
      <c r="V25" s="67">
        <v>0</v>
      </c>
      <c r="W25" s="17" t="e">
        <f>SUM(V25/V37)</f>
        <v>#DIV/0!</v>
      </c>
      <c r="X25" s="67">
        <v>0</v>
      </c>
      <c r="Y25" s="17" t="e">
        <f>SUM(X25/X37)</f>
        <v>#DIV/0!</v>
      </c>
      <c r="Z25" s="67">
        <v>0</v>
      </c>
      <c r="AA25" s="17" t="e">
        <f>SUM(Z25/Z37)</f>
        <v>#DIV/0!</v>
      </c>
      <c r="AB25" s="67">
        <v>0</v>
      </c>
      <c r="AC25" s="17" t="e">
        <f>SUM(AB25/AB37)</f>
        <v>#DIV/0!</v>
      </c>
      <c r="AD25" s="16">
        <f t="shared" si="0"/>
        <v>34.76515441269968</v>
      </c>
      <c r="AE25" s="1"/>
      <c r="AF25" s="61"/>
    </row>
    <row r="26" spans="1:32" s="32" customFormat="1" ht="12.75">
      <c r="A26" s="12"/>
      <c r="B26" s="5"/>
      <c r="C26" s="15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2"/>
      <c r="Q26" s="5"/>
      <c r="R26" s="16"/>
      <c r="S26" s="17"/>
      <c r="T26" s="16"/>
      <c r="U26" s="17"/>
      <c r="V26" s="67">
        <v>0</v>
      </c>
      <c r="W26" s="17"/>
      <c r="X26" s="67">
        <v>0</v>
      </c>
      <c r="Y26" s="17"/>
      <c r="Z26" s="67">
        <v>0</v>
      </c>
      <c r="AA26" s="17"/>
      <c r="AB26" s="67">
        <v>0</v>
      </c>
      <c r="AC26" s="17"/>
      <c r="AD26" s="16"/>
      <c r="AE26" s="1"/>
      <c r="AF26" s="61"/>
    </row>
    <row r="27" spans="1:32" s="32" customFormat="1" ht="12.75">
      <c r="A27" s="12">
        <v>12</v>
      </c>
      <c r="B27" s="5" t="s">
        <v>9</v>
      </c>
      <c r="C27" s="15">
        <v>1300</v>
      </c>
      <c r="D27" s="16">
        <f>'[2]JAN-07'!$AE$81*'[1]JAN 07'!$AY26</f>
        <v>2.624440397156454</v>
      </c>
      <c r="E27" s="17">
        <f>SUM(D27/D37)</f>
        <v>0.00905481646583548</v>
      </c>
      <c r="F27" s="16">
        <f>'[2]FEB-07'!$AD$93*'[1]FEB 07'!$AW26</f>
        <v>1.4091810263008033</v>
      </c>
      <c r="G27" s="17">
        <f>SUM(F27/F37)</f>
        <v>0.005269173712497669</v>
      </c>
      <c r="H27" s="16">
        <f>'[2]MAR-07'!$AE$103*'[1]MARCH 07'!$AZ26</f>
        <v>1.538991598787138</v>
      </c>
      <c r="I27" s="17">
        <f>SUM(H27/H37)</f>
        <v>0.005010391566555144</v>
      </c>
      <c r="J27" s="16">
        <f>'[2]APR-07'!$AD$98*'[1]APRIL 07'!$AX26</f>
        <v>2.7090803971678747</v>
      </c>
      <c r="K27" s="17">
        <f>SUM(J27/J37)</f>
        <v>0.010063379940974409</v>
      </c>
      <c r="L27" s="16">
        <f>'[2]MAY-07'!$AF$98*'[1]MAY 07'!$AZ26</f>
        <v>2.617391518981093</v>
      </c>
      <c r="M27" s="17">
        <f>SUM(L27/L37)</f>
        <v>0.007362519114232317</v>
      </c>
      <c r="N27" s="16">
        <f>'2007 WO chip'!N27</f>
        <v>1.8560084134161237</v>
      </c>
      <c r="O27" s="17">
        <f>SUM(N27/N37)</f>
        <v>0.00548700704869367</v>
      </c>
      <c r="P27" s="12">
        <v>12</v>
      </c>
      <c r="Q27" s="5" t="s">
        <v>9</v>
      </c>
      <c r="R27" s="16">
        <f>'[2]JUL-07'!$AE$98*'[1]JULY 07'!$AY26</f>
        <v>2.959029945170814</v>
      </c>
      <c r="S27" s="17">
        <f>SUM(R27/R37)</f>
        <v>0.008713461180413329</v>
      </c>
      <c r="T27" s="16">
        <f>'[2]AUG-07'!$AF$102*'[1]AUG 07'!$AY26</f>
        <v>2.2509026665750604</v>
      </c>
      <c r="U27" s="17">
        <f>SUM(T27/T37)</f>
        <v>0.0067459567796029915</v>
      </c>
      <c r="V27" s="67">
        <v>0</v>
      </c>
      <c r="W27" s="17" t="e">
        <f>SUM(V27/V37)</f>
        <v>#DIV/0!</v>
      </c>
      <c r="X27" s="67">
        <v>0</v>
      </c>
      <c r="Y27" s="17" t="e">
        <f>SUM(X27/X37)</f>
        <v>#DIV/0!</v>
      </c>
      <c r="Z27" s="67">
        <v>0</v>
      </c>
      <c r="AA27" s="17" t="e">
        <f>SUM(Z27/Z37)</f>
        <v>#DIV/0!</v>
      </c>
      <c r="AB27" s="67">
        <v>0</v>
      </c>
      <c r="AC27" s="17" t="e">
        <f>SUM(AB27/AB37)</f>
        <v>#DIV/0!</v>
      </c>
      <c r="AD27" s="16">
        <f t="shared" si="0"/>
        <v>17.965025963555362</v>
      </c>
      <c r="AE27" s="1"/>
      <c r="AF27" s="61"/>
    </row>
    <row r="28" spans="1:32" s="32" customFormat="1" ht="12.75">
      <c r="A28" s="12"/>
      <c r="B28" s="5"/>
      <c r="C28" s="15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2"/>
      <c r="Q28" s="5"/>
      <c r="R28" s="16"/>
      <c r="S28" s="17"/>
      <c r="T28" s="16"/>
      <c r="U28" s="17"/>
      <c r="V28" s="67">
        <v>0</v>
      </c>
      <c r="W28" s="17"/>
      <c r="X28" s="67">
        <v>0</v>
      </c>
      <c r="Y28" s="17"/>
      <c r="Z28" s="67">
        <v>0</v>
      </c>
      <c r="AA28" s="17"/>
      <c r="AB28" s="67">
        <v>0</v>
      </c>
      <c r="AC28" s="17"/>
      <c r="AD28" s="16"/>
      <c r="AE28" s="1"/>
      <c r="AF28" s="61"/>
    </row>
    <row r="29" spans="1:32" s="32" customFormat="1" ht="12.75">
      <c r="A29" s="12">
        <v>13</v>
      </c>
      <c r="B29" s="5" t="s">
        <v>10</v>
      </c>
      <c r="C29" s="15">
        <v>1660</v>
      </c>
      <c r="D29" s="16">
        <f>'[2]JAN-07'!$AE$81*'[1]JAN 07'!$AY28</f>
        <v>0</v>
      </c>
      <c r="E29" s="17">
        <f>SUM(D29/D37)</f>
        <v>0</v>
      </c>
      <c r="F29" s="16">
        <f>'[2]FEB-07'!$AD$93*'[1]FEB 07'!$AW28</f>
        <v>0</v>
      </c>
      <c r="G29" s="17">
        <f>SUM(F29/F37)</f>
        <v>0</v>
      </c>
      <c r="H29" s="16">
        <f>'[2]MAR-07'!$AE$103*'[1]MARCH 07'!$AZ28</f>
        <v>0</v>
      </c>
      <c r="I29" s="17">
        <f>SUM(H29/H37)</f>
        <v>0</v>
      </c>
      <c r="J29" s="16">
        <f>'[2]APR-07'!$AD$98*'[1]APRIL 07'!$AX28</f>
        <v>0</v>
      </c>
      <c r="K29" s="17">
        <f>SUM(J29/J37)</f>
        <v>0</v>
      </c>
      <c r="L29" s="16">
        <f>'[2]MAY-07'!$AF$98*'[1]MAY 07'!$AZ28</f>
        <v>0</v>
      </c>
      <c r="M29" s="17">
        <f>SUM(L29/L37)</f>
        <v>0</v>
      </c>
      <c r="N29" s="16">
        <f>'2007 WO chip'!N29</f>
        <v>1.5799866493696233</v>
      </c>
      <c r="O29" s="17">
        <f>SUM(N29/N37)</f>
        <v>0.004670990615811022</v>
      </c>
      <c r="P29" s="12">
        <v>13</v>
      </c>
      <c r="Q29" s="5" t="s">
        <v>10</v>
      </c>
      <c r="R29" s="16">
        <f>'[2]JUL-07'!$AE$98*'[1]JULY 07'!$AY28</f>
        <v>5.457766343315058</v>
      </c>
      <c r="S29" s="17">
        <f>SUM(R29/R37)</f>
        <v>0.016071495066095697</v>
      </c>
      <c r="T29" s="16">
        <f>'[2]AUG-07'!$AF$102*'[1]AUG 07'!$AY28</f>
        <v>4.5164118521625625</v>
      </c>
      <c r="U29" s="17">
        <f>SUM(T29/T37)</f>
        <v>0.01353568930634138</v>
      </c>
      <c r="V29" s="67">
        <v>0</v>
      </c>
      <c r="W29" s="17" t="e">
        <f>SUM(V29/V37)</f>
        <v>#DIV/0!</v>
      </c>
      <c r="X29" s="67">
        <v>0</v>
      </c>
      <c r="Y29" s="17" t="e">
        <f>SUM(X29/X37)</f>
        <v>#DIV/0!</v>
      </c>
      <c r="Z29" s="67">
        <v>0</v>
      </c>
      <c r="AA29" s="17" t="e">
        <f>SUM(Z29/Z37)</f>
        <v>#DIV/0!</v>
      </c>
      <c r="AB29" s="67">
        <v>0</v>
      </c>
      <c r="AC29" s="17" t="e">
        <f>SUM(AB29/AB37)</f>
        <v>#DIV/0!</v>
      </c>
      <c r="AD29" s="16">
        <f t="shared" si="0"/>
        <v>11.554164844847243</v>
      </c>
      <c r="AE29" s="1"/>
      <c r="AF29" s="61"/>
    </row>
    <row r="30" spans="1:32" s="32" customFormat="1" ht="12.75">
      <c r="A30" s="12"/>
      <c r="B30" s="5"/>
      <c r="C30" s="15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2"/>
      <c r="Q30" s="5"/>
      <c r="R30" s="16"/>
      <c r="S30" s="17"/>
      <c r="T30" s="16"/>
      <c r="U30" s="17"/>
      <c r="V30" s="67">
        <v>0</v>
      </c>
      <c r="W30" s="17"/>
      <c r="X30" s="67">
        <v>0</v>
      </c>
      <c r="Y30" s="17"/>
      <c r="Z30" s="67">
        <v>0</v>
      </c>
      <c r="AA30" s="17"/>
      <c r="AB30" s="67">
        <v>0</v>
      </c>
      <c r="AC30" s="17"/>
      <c r="AD30" s="16"/>
      <c r="AE30" s="1"/>
      <c r="AF30" s="61"/>
    </row>
    <row r="31" spans="1:32" s="32" customFormat="1" ht="12.75">
      <c r="A31" s="12">
        <v>14</v>
      </c>
      <c r="B31" s="5" t="s">
        <v>11</v>
      </c>
      <c r="C31" s="15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2">
        <v>14</v>
      </c>
      <c r="Q31" s="5" t="s">
        <v>11</v>
      </c>
      <c r="R31" s="16"/>
      <c r="S31" s="17"/>
      <c r="T31" s="16"/>
      <c r="U31" s="17"/>
      <c r="V31" s="67">
        <v>0</v>
      </c>
      <c r="W31" s="17"/>
      <c r="X31" s="67">
        <v>0</v>
      </c>
      <c r="Y31" s="17"/>
      <c r="Z31" s="67">
        <v>0</v>
      </c>
      <c r="AA31" s="17"/>
      <c r="AB31" s="67">
        <v>0</v>
      </c>
      <c r="AC31" s="17"/>
      <c r="AD31" s="16"/>
      <c r="AE31" s="1"/>
      <c r="AF31" s="61"/>
    </row>
    <row r="32" spans="1:32" s="32" customFormat="1" ht="12.75">
      <c r="A32" s="12"/>
      <c r="B32" s="5" t="s">
        <v>26</v>
      </c>
      <c r="C32" s="15">
        <v>925</v>
      </c>
      <c r="D32" s="16">
        <f>'[2]JAN-07'!$AE$81*'[1]JAN 07'!$AY31</f>
        <v>69.14391046354504</v>
      </c>
      <c r="E32" s="17">
        <f>SUM(D32/D37)</f>
        <v>0.2385595876575886</v>
      </c>
      <c r="F32" s="16">
        <f>'[2]FEB-07'!$AD$93*'[1]FEB 07'!$AW31</f>
        <v>58.535211861725685</v>
      </c>
      <c r="G32" s="17">
        <f>SUM(F32/F37)</f>
        <v>0.21887336959605705</v>
      </c>
      <c r="H32" s="16">
        <f>'[2]MAR-07'!$AE$103*'[1]MARCH 07'!$AZ31</f>
        <v>73.5990007286577</v>
      </c>
      <c r="I32" s="17">
        <f>SUM(H32/H37)</f>
        <v>0.23961132266632768</v>
      </c>
      <c r="J32" s="16">
        <f>'[2]APR-07'!$AD$98*'[1]APRIL 07'!$AX31</f>
        <v>59.91235493736646</v>
      </c>
      <c r="K32" s="17">
        <f>SUM(J32/J37)</f>
        <v>0.22255551792539557</v>
      </c>
      <c r="L32" s="16">
        <f>'[2]MAY-07'!$AF$98*'[1]MAY 07'!$AZ31</f>
        <v>84.93938823616527</v>
      </c>
      <c r="M32" s="17">
        <f>SUM(L32/L37)</f>
        <v>0.23892790394744295</v>
      </c>
      <c r="N32" s="16">
        <f>'2007 WO chip'!N32</f>
        <v>76.73880940085897</v>
      </c>
      <c r="O32" s="17">
        <f>SUM(N32/N37)</f>
        <v>0.22686663759021908</v>
      </c>
      <c r="P32" s="12"/>
      <c r="Q32" s="5" t="s">
        <v>26</v>
      </c>
      <c r="R32" s="16">
        <f>'[2]JUL-07'!$AE$98*'[1]JULY 07'!$AY31</f>
        <v>74.6080199850761</v>
      </c>
      <c r="S32" s="17">
        <f>SUM(R32/R37)</f>
        <v>0.21969838018990878</v>
      </c>
      <c r="T32" s="16">
        <f>'[2]AUG-07'!$AF$102*'[1]AUG 07'!$AY31</f>
        <v>72.34690975976356</v>
      </c>
      <c r="U32" s="17">
        <f>SUM(T32/T37)</f>
        <v>0.21682373637231103</v>
      </c>
      <c r="V32" s="67">
        <v>0</v>
      </c>
      <c r="W32" s="17" t="e">
        <f>SUM(V32/V37)</f>
        <v>#DIV/0!</v>
      </c>
      <c r="X32" s="67">
        <v>0</v>
      </c>
      <c r="Y32" s="17" t="e">
        <f>SUM(X32/X37)</f>
        <v>#DIV/0!</v>
      </c>
      <c r="Z32" s="67">
        <v>0</v>
      </c>
      <c r="AA32" s="17" t="e">
        <f>SUM(Z32/Z37)</f>
        <v>#DIV/0!</v>
      </c>
      <c r="AB32" s="67">
        <v>0</v>
      </c>
      <c r="AC32" s="17" t="e">
        <f>SUM(AB32/AB37)</f>
        <v>#DIV/0!</v>
      </c>
      <c r="AD32" s="16">
        <f t="shared" si="0"/>
        <v>569.8236053731588</v>
      </c>
      <c r="AE32" s="1"/>
      <c r="AF32" s="61"/>
    </row>
    <row r="33" spans="1:32" s="32" customFormat="1" ht="12.75">
      <c r="A33" s="12"/>
      <c r="B33" s="5" t="s">
        <v>27</v>
      </c>
      <c r="C33" s="15">
        <v>925</v>
      </c>
      <c r="D33" s="16">
        <f>'[2]JAN-07'!$AE$81*'[1]JAN 07'!$AY32</f>
        <v>26.24440397156454</v>
      </c>
      <c r="E33" s="17">
        <f>SUM(D33/D37)</f>
        <v>0.0905481646583548</v>
      </c>
      <c r="F33" s="16">
        <f>'[2]FEB-07'!$AD$93*'[1]FEB 07'!$AW32</f>
        <v>22.221700799358825</v>
      </c>
      <c r="G33" s="17">
        <f>SUM(F33/F37)</f>
        <v>0.08309081623554018</v>
      </c>
      <c r="H33" s="16">
        <f>'[2]MAR-07'!$AE$103*'[1]MARCH 07'!$AZ32</f>
        <v>29.587390815779095</v>
      </c>
      <c r="I33" s="17">
        <f>SUM(H33/H37)</f>
        <v>0.09632568074873213</v>
      </c>
      <c r="J33" s="16">
        <f>'[2]APR-07'!$AD$98*'[1]APRIL 07'!$AX32</f>
        <v>24.746407474129626</v>
      </c>
      <c r="K33" s="17">
        <f>SUM(J33/J37)</f>
        <v>0.09192510523005469</v>
      </c>
      <c r="L33" s="16">
        <f>'[2]MAY-07'!$AF$98*'[1]MAY 07'!$AZ32</f>
        <v>30.829852026459985</v>
      </c>
      <c r="M33" s="17">
        <f>SUM(L33/L37)</f>
        <v>0.0867219799512941</v>
      </c>
      <c r="N33" s="16">
        <f>'2007 WO chip'!N33</f>
        <v>25.579603133619653</v>
      </c>
      <c r="O33" s="17">
        <f>SUM(N33/N37)</f>
        <v>0.07562221253007301</v>
      </c>
      <c r="P33" s="12"/>
      <c r="Q33" s="5" t="s">
        <v>27</v>
      </c>
      <c r="R33" s="16">
        <f>'[2]JUL-07'!$AE$98*'[1]JULY 07'!$AY32</f>
        <v>28.452211011257834</v>
      </c>
      <c r="S33" s="17">
        <f>SUM(R33/R37)</f>
        <v>0.08378328058089742</v>
      </c>
      <c r="T33" s="16">
        <f>'[2]AUG-07'!$AF$102*'[1]AUG 07'!$AY32</f>
        <v>29.0624840382768</v>
      </c>
      <c r="U33" s="17">
        <f>SUM(T33/T37)</f>
        <v>0.08710028387341613</v>
      </c>
      <c r="V33" s="67">
        <v>0</v>
      </c>
      <c r="W33" s="17" t="e">
        <f>SUM(V33/V37)</f>
        <v>#DIV/0!</v>
      </c>
      <c r="X33" s="67">
        <v>0</v>
      </c>
      <c r="Y33" s="17" t="e">
        <f>SUM(X33/X37)</f>
        <v>#DIV/0!</v>
      </c>
      <c r="Z33" s="67">
        <v>0</v>
      </c>
      <c r="AA33" s="17" t="e">
        <f>SUM(Z33/Z37)</f>
        <v>#DIV/0!</v>
      </c>
      <c r="AB33" s="67">
        <v>0</v>
      </c>
      <c r="AC33" s="17" t="e">
        <f>SUM(AB33/AB37)</f>
        <v>#DIV/0!</v>
      </c>
      <c r="AD33" s="16">
        <f t="shared" si="0"/>
        <v>216.72405327044638</v>
      </c>
      <c r="AE33" s="1"/>
      <c r="AF33" s="61"/>
    </row>
    <row r="34" spans="1:32" s="32" customFormat="1" ht="12.75">
      <c r="A34" s="12"/>
      <c r="B34" s="5"/>
      <c r="C34" s="15"/>
      <c r="D34" s="16"/>
      <c r="E34" s="17"/>
      <c r="F34" s="16"/>
      <c r="G34" s="17"/>
      <c r="H34" s="16"/>
      <c r="I34" s="17" t="s">
        <v>0</v>
      </c>
      <c r="J34" s="16"/>
      <c r="K34" s="17"/>
      <c r="L34" s="16"/>
      <c r="M34" s="17"/>
      <c r="N34" s="16"/>
      <c r="O34" s="17"/>
      <c r="P34" s="12"/>
      <c r="Q34" s="5"/>
      <c r="R34" s="16"/>
      <c r="S34" s="17"/>
      <c r="T34" s="16"/>
      <c r="U34" s="17"/>
      <c r="V34" s="67">
        <v>0</v>
      </c>
      <c r="W34" s="17"/>
      <c r="X34" s="67">
        <v>0</v>
      </c>
      <c r="Y34" s="17"/>
      <c r="Z34" s="67">
        <v>0</v>
      </c>
      <c r="AA34" s="17"/>
      <c r="AB34" s="67">
        <v>0</v>
      </c>
      <c r="AC34" s="17"/>
      <c r="AD34" s="16"/>
      <c r="AE34" s="1"/>
      <c r="AF34" s="61"/>
    </row>
    <row r="35" spans="1:32" s="32" customFormat="1" ht="12.75">
      <c r="A35" s="12">
        <v>15</v>
      </c>
      <c r="B35" s="5" t="s">
        <v>28</v>
      </c>
      <c r="C35" s="15">
        <v>750</v>
      </c>
      <c r="D35" s="16">
        <f>'[2]JAN-07'!$AE$81*'[1]JAN 07'!$AY35</f>
        <v>0</v>
      </c>
      <c r="E35" s="17">
        <f>SUM(D35/D37)</f>
        <v>0</v>
      </c>
      <c r="F35" s="16">
        <f>'[2]FEB-07'!$AD$93*'[1]FEB 07'!$AW$35</f>
        <v>3.4145540252673316</v>
      </c>
      <c r="G35" s="17">
        <f>SUM(F35/F37)</f>
        <v>0.012767613226436662</v>
      </c>
      <c r="H35" s="16">
        <f>'[2]MAR-07'!$AE$103*'[1]MARCH 07'!$AZ34</f>
        <v>3.4408036100514354</v>
      </c>
      <c r="I35" s="17">
        <f>SUM(H35/H37)</f>
        <v>0.011201993177585036</v>
      </c>
      <c r="J35" s="16">
        <f>'[2]APR-07'!$AD$98*'[1]APRIL 07'!$AX34</f>
        <v>2.539762872344882</v>
      </c>
      <c r="K35" s="17">
        <f>SUM(J35/J37)</f>
        <v>0.009434418694663506</v>
      </c>
      <c r="L35" s="16">
        <f>'[2]MAY-07'!$AF$98*'[1]MAY 07'!$AZ34</f>
        <v>3.775083921607345</v>
      </c>
      <c r="M35" s="17">
        <f>SUM(L35/L37)</f>
        <v>0.010619017953219687</v>
      </c>
      <c r="N35" s="16">
        <f>'2007 WO chip'!N35</f>
        <v>6.067719813091173</v>
      </c>
      <c r="O35" s="17">
        <f>SUM(N35/N37)</f>
        <v>0.017938292274575458</v>
      </c>
      <c r="P35" s="12">
        <v>15</v>
      </c>
      <c r="Q35" s="5" t="s">
        <v>28</v>
      </c>
      <c r="R35" s="16">
        <f>'[2]JUL-07'!$AE$98*'[1]JULY 07'!$AY34</f>
        <v>3.983309541576096</v>
      </c>
      <c r="S35" s="17">
        <f>SUM(R35/R37)</f>
        <v>0.011729659281325636</v>
      </c>
      <c r="T35" s="16">
        <f>'[2]AUG-07'!$AF$102*'[1]AUG 07'!$AY34</f>
        <v>3.8955148455777864</v>
      </c>
      <c r="U35" s="17">
        <f>SUM(T35/T37)</f>
        <v>0.011674860567185369</v>
      </c>
      <c r="V35" s="67">
        <v>0</v>
      </c>
      <c r="W35" s="17" t="e">
        <f>SUM(V35/V37)</f>
        <v>#DIV/0!</v>
      </c>
      <c r="X35" s="67">
        <v>0</v>
      </c>
      <c r="Y35" s="17" t="e">
        <f>SUM(X35/X37)</f>
        <v>#DIV/0!</v>
      </c>
      <c r="Z35" s="67">
        <v>0</v>
      </c>
      <c r="AA35" s="17" t="e">
        <f>SUM(Z35/Z37)</f>
        <v>#DIV/0!</v>
      </c>
      <c r="AB35" s="67">
        <v>0</v>
      </c>
      <c r="AC35" s="17" t="e">
        <f>SUM(AB35/AB37)</f>
        <v>#DIV/0!</v>
      </c>
      <c r="AD35" s="16">
        <f t="shared" si="0"/>
        <v>27.116748629516053</v>
      </c>
      <c r="AE35" s="1"/>
      <c r="AF35" s="61"/>
    </row>
    <row r="36" spans="1:32" s="32" customFormat="1" ht="12.75">
      <c r="A36" s="12"/>
      <c r="B36" s="5"/>
      <c r="C36" s="15"/>
      <c r="D36" s="16"/>
      <c r="E36" s="17"/>
      <c r="F36" s="16"/>
      <c r="G36" s="17"/>
      <c r="H36" s="16"/>
      <c r="I36" s="17"/>
      <c r="J36" s="16"/>
      <c r="K36" s="17"/>
      <c r="L36" s="16"/>
      <c r="M36" s="17"/>
      <c r="N36" s="16"/>
      <c r="O36" s="17"/>
      <c r="P36" s="12"/>
      <c r="Q36" s="5"/>
      <c r="R36" s="16"/>
      <c r="S36" s="17"/>
      <c r="T36" s="16"/>
      <c r="U36" s="17"/>
      <c r="V36" s="67">
        <v>0</v>
      </c>
      <c r="W36" s="17"/>
      <c r="X36" s="67">
        <v>0</v>
      </c>
      <c r="Y36" s="17"/>
      <c r="Z36" s="67">
        <v>0</v>
      </c>
      <c r="AA36" s="17"/>
      <c r="AB36" s="67">
        <v>0</v>
      </c>
      <c r="AC36" s="17"/>
      <c r="AD36" s="16"/>
      <c r="AE36" s="1"/>
      <c r="AF36" s="61"/>
    </row>
    <row r="37" spans="1:32" s="32" customFormat="1" ht="13.5" thickBot="1">
      <c r="A37" s="19"/>
      <c r="B37" s="20" t="s">
        <v>30</v>
      </c>
      <c r="C37" s="21"/>
      <c r="D37" s="22">
        <f>SUM(D5:D36)</f>
        <v>289.8391598613478</v>
      </c>
      <c r="E37" s="23">
        <v>1</v>
      </c>
      <c r="F37" s="22">
        <f aca="true" t="shared" si="1" ref="F37:K37">SUM(F5:F36)</f>
        <v>267.43871111298586</v>
      </c>
      <c r="G37" s="23">
        <f t="shared" si="1"/>
        <v>1.0000000000000002</v>
      </c>
      <c r="H37" s="22">
        <f t="shared" si="1"/>
        <v>307.1599451547975</v>
      </c>
      <c r="I37" s="23">
        <f t="shared" si="1"/>
        <v>1</v>
      </c>
      <c r="J37" s="22">
        <f t="shared" si="1"/>
        <v>269.2018400435711</v>
      </c>
      <c r="K37" s="23">
        <f t="shared" si="1"/>
        <v>1.0000000000000004</v>
      </c>
      <c r="L37" s="22">
        <f>SUM(L5:L36)</f>
        <v>355.5021696203781</v>
      </c>
      <c r="M37" s="23">
        <f>SUM(M5:M36)</f>
        <v>1</v>
      </c>
      <c r="N37" s="22">
        <f>'2007 WO chip'!N37</f>
        <v>338.25515384712264</v>
      </c>
      <c r="O37" s="23">
        <f>SUM(O5:O36)</f>
        <v>0.9999999999999998</v>
      </c>
      <c r="P37" s="19"/>
      <c r="Q37" s="20" t="s">
        <v>30</v>
      </c>
      <c r="R37" s="22">
        <f>SUM(R5:R36)</f>
        <v>339.5929452032574</v>
      </c>
      <c r="S37" s="23">
        <f>SUM(S5:S36)</f>
        <v>0.9999999999999999</v>
      </c>
      <c r="T37" s="22">
        <f>SUM(T5:T36)</f>
        <v>333.66692674060226</v>
      </c>
      <c r="U37" s="23">
        <f>SUM(U5:U36)</f>
        <v>1</v>
      </c>
      <c r="V37" s="67">
        <v>0</v>
      </c>
      <c r="W37" s="23" t="e">
        <f>SUM(W5:W36)</f>
        <v>#DIV/0!</v>
      </c>
      <c r="X37" s="67">
        <v>0</v>
      </c>
      <c r="Y37" s="23" t="e">
        <f>SUM(Y5:Y36)</f>
        <v>#DIV/0!</v>
      </c>
      <c r="Z37" s="67">
        <v>0</v>
      </c>
      <c r="AA37" s="64" t="e">
        <f>SUM(AA5:AA36)</f>
        <v>#DIV/0!</v>
      </c>
      <c r="AB37" s="67">
        <v>0</v>
      </c>
      <c r="AC37" s="23" t="e">
        <f>SUM(AC5:AC36)</f>
        <v>#DIV/0!</v>
      </c>
      <c r="AD37" s="22">
        <f t="shared" si="0"/>
        <v>2500.6568515840627</v>
      </c>
      <c r="AE37" s="1"/>
      <c r="AF37" s="61"/>
    </row>
    <row r="38" spans="1:32" s="32" customFormat="1" ht="13.5" thickTop="1">
      <c r="A38" s="1"/>
      <c r="B38" s="1"/>
      <c r="C38" s="2"/>
      <c r="D38" s="35"/>
      <c r="E38" s="3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1"/>
      <c r="Q38" s="1"/>
      <c r="R38" s="36"/>
      <c r="S38" s="36"/>
      <c r="T38" s="36"/>
      <c r="U38" s="36"/>
      <c r="V38" s="63"/>
      <c r="W38" s="3"/>
      <c r="X38" s="16"/>
      <c r="Y38" s="3"/>
      <c r="Z38" s="1"/>
      <c r="AA38" s="3"/>
      <c r="AB38" s="1"/>
      <c r="AC38" s="3"/>
      <c r="AD38" s="63"/>
      <c r="AE38" s="1"/>
      <c r="AF38" s="24"/>
    </row>
    <row r="39" spans="1:32" s="32" customFormat="1" ht="12.75">
      <c r="A39" s="12">
        <v>16</v>
      </c>
      <c r="B39" s="5" t="s">
        <v>29</v>
      </c>
      <c r="C39" s="15">
        <v>1600</v>
      </c>
      <c r="D39" s="16">
        <f>'2007 WO chip'!D39</f>
        <v>35.948279772046305</v>
      </c>
      <c r="E39" s="17">
        <f>D39/$D37</f>
        <v>0.1240283741825746</v>
      </c>
      <c r="F39" s="16">
        <f>'2007 WO chip'!F39</f>
        <v>28.65128888701411</v>
      </c>
      <c r="G39" s="17">
        <f>SUM(F39/F37)</f>
        <v>0.10713216784427924</v>
      </c>
      <c r="H39" s="16">
        <f>'2007 WO chip'!H39</f>
        <v>36.12584197901285</v>
      </c>
      <c r="I39" s="17">
        <f>SUM(H39/H37)</f>
        <v>0.1176124769810293</v>
      </c>
      <c r="J39" s="16">
        <f>'2007 WO chip'!J39</f>
        <v>29.178159956428843</v>
      </c>
      <c r="K39" s="17">
        <f>SUM(J39/J37)</f>
        <v>0.10838766908764914</v>
      </c>
      <c r="L39" s="16">
        <f>'2007 WO chip'!L39</f>
        <v>36.637830379621846</v>
      </c>
      <c r="M39" s="17">
        <f>SUM(L39/L37)</f>
        <v>0.10305937209538114</v>
      </c>
      <c r="N39" s="16">
        <f>'2007 WO chip'!N39</f>
        <v>27.714846152877307</v>
      </c>
      <c r="O39" s="17">
        <f>SUM(N39/N37)</f>
        <v>0.08193473429056242</v>
      </c>
      <c r="P39" s="12">
        <v>16</v>
      </c>
      <c r="Q39" s="5" t="s">
        <v>29</v>
      </c>
      <c r="R39" s="16">
        <f>'[2]JUL-07'!$AE$98*'[1]JULY 07'!$AY36-35.41</f>
        <v>14.767054796742705</v>
      </c>
      <c r="S39" s="17">
        <f>SUM(R39/R37)</f>
        <v>0.0434845747101847</v>
      </c>
      <c r="T39" s="71">
        <f>'[2]AUG-07'!$AF$102*'[1]AUG 07'!$AY$36-35</f>
        <v>16.053073259397742</v>
      </c>
      <c r="U39" s="17">
        <f>SUM(T39/T37)</f>
        <v>0.048111071169716635</v>
      </c>
      <c r="V39" s="16">
        <v>0</v>
      </c>
      <c r="W39" s="17" t="e">
        <f>SUM(V39/V37)</f>
        <v>#DIV/0!</v>
      </c>
      <c r="X39" s="16">
        <v>0</v>
      </c>
      <c r="Y39" s="17" t="e">
        <f>SUM(X39/X37)</f>
        <v>#DIV/0!</v>
      </c>
      <c r="Z39" s="16">
        <v>0</v>
      </c>
      <c r="AA39" s="17" t="e">
        <f>SUM(Z39/Z37)</f>
        <v>#DIV/0!</v>
      </c>
      <c r="AB39" s="16">
        <v>0</v>
      </c>
      <c r="AC39" s="17" t="e">
        <f>SUM(AB39/AB37)</f>
        <v>#DIV/0!</v>
      </c>
      <c r="AD39" s="16">
        <f t="shared" si="0"/>
        <v>225.07637518314172</v>
      </c>
      <c r="AE39" s="1"/>
      <c r="AF39" s="24" t="s">
        <v>0</v>
      </c>
    </row>
    <row r="40" spans="1:32" s="32" customFormat="1" ht="12.75">
      <c r="A40" s="1"/>
      <c r="B40" s="1"/>
      <c r="C40" s="2"/>
      <c r="D40" s="35"/>
      <c r="E40" s="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1"/>
      <c r="Q40" s="1"/>
      <c r="R40" s="36"/>
      <c r="S40" s="36"/>
      <c r="T40" s="36"/>
      <c r="U40" s="36"/>
      <c r="V40" s="1"/>
      <c r="W40" s="3"/>
      <c r="X40" s="1"/>
      <c r="Y40" s="3"/>
      <c r="Z40" s="1"/>
      <c r="AA40" s="3"/>
      <c r="AB40" s="1"/>
      <c r="AC40" s="3"/>
      <c r="AD40" s="1"/>
      <c r="AE40" s="1"/>
      <c r="AF40" s="24" t="s">
        <v>0</v>
      </c>
    </row>
    <row r="41" spans="1:32" s="32" customFormat="1" ht="12.75">
      <c r="A41" s="1"/>
      <c r="B41" s="1"/>
      <c r="C41" s="37" t="s">
        <v>0</v>
      </c>
      <c r="D41" s="37"/>
      <c r="E41" s="37"/>
      <c r="F41" s="37"/>
      <c r="G41" s="37"/>
      <c r="H41" s="37"/>
      <c r="I41" s="37"/>
      <c r="J41" s="37"/>
      <c r="K41" s="37"/>
      <c r="L41" s="36"/>
      <c r="M41" s="37"/>
      <c r="N41" s="36"/>
      <c r="O41" s="37"/>
      <c r="P41" s="1"/>
      <c r="Q41" s="1"/>
      <c r="R41" s="37"/>
      <c r="S41" s="37" t="s">
        <v>0</v>
      </c>
      <c r="T41" s="36"/>
      <c r="U41" s="37"/>
      <c r="V41" s="1"/>
      <c r="W41" s="3"/>
      <c r="X41" s="1"/>
      <c r="Y41" s="3"/>
      <c r="Z41" s="1" t="s">
        <v>0</v>
      </c>
      <c r="AA41" s="3"/>
      <c r="AB41" s="1"/>
      <c r="AC41" s="3"/>
      <c r="AD41" s="1"/>
      <c r="AE41" s="1"/>
      <c r="AF41" s="24"/>
    </row>
    <row r="42" spans="1:32" s="32" customFormat="1" ht="12.75">
      <c r="A42" s="5" t="s">
        <v>47</v>
      </c>
      <c r="B42" s="1"/>
      <c r="C42" s="2"/>
      <c r="D42" s="1"/>
      <c r="E42" s="3"/>
      <c r="F42" s="1"/>
      <c r="G42" s="3"/>
      <c r="H42" s="36"/>
      <c r="I42" s="3"/>
      <c r="J42" s="1"/>
      <c r="K42" s="3"/>
      <c r="L42" s="1"/>
      <c r="M42" s="3"/>
      <c r="N42" s="1"/>
      <c r="O42" s="3" t="s">
        <v>0</v>
      </c>
      <c r="P42" s="5" t="s">
        <v>14</v>
      </c>
      <c r="Q42" s="1"/>
      <c r="R42" s="1"/>
      <c r="S42" s="3"/>
      <c r="T42" s="1"/>
      <c r="U42" s="3"/>
      <c r="V42" s="1"/>
      <c r="W42" s="3"/>
      <c r="X42" s="1"/>
      <c r="Y42" s="3"/>
      <c r="Z42" s="1"/>
      <c r="AA42" s="3"/>
      <c r="AB42" s="1"/>
      <c r="AC42" s="3"/>
      <c r="AD42" s="1"/>
      <c r="AE42" s="1"/>
      <c r="AF42" s="24"/>
    </row>
    <row r="43" spans="1:32" s="32" customFormat="1" ht="12.75">
      <c r="A43" s="5"/>
      <c r="B43" s="5"/>
      <c r="C43" s="2"/>
      <c r="D43" s="1"/>
      <c r="E43" s="3"/>
      <c r="F43" s="1"/>
      <c r="G43" s="3"/>
      <c r="H43" s="36"/>
      <c r="I43" s="3"/>
      <c r="J43" s="1"/>
      <c r="K43" s="3"/>
      <c r="L43" s="1"/>
      <c r="M43" s="3"/>
      <c r="N43" s="1"/>
      <c r="O43" s="3"/>
      <c r="P43" s="5"/>
      <c r="Q43" s="5" t="s">
        <v>32</v>
      </c>
      <c r="R43" s="1"/>
      <c r="S43" s="3" t="s">
        <v>0</v>
      </c>
      <c r="T43" s="1"/>
      <c r="U43" s="3"/>
      <c r="V43" s="1"/>
      <c r="W43" s="3"/>
      <c r="X43" s="1"/>
      <c r="Y43" s="3"/>
      <c r="Z43" s="1"/>
      <c r="AA43" s="3"/>
      <c r="AB43" s="1"/>
      <c r="AC43" s="3"/>
      <c r="AD43" s="1"/>
      <c r="AE43" s="1"/>
      <c r="AF43" s="24"/>
    </row>
    <row r="44" spans="1:32" s="38" customFormat="1" ht="12.75" customHeight="1">
      <c r="A44" s="12">
        <v>1</v>
      </c>
      <c r="B44" s="5" t="s">
        <v>13</v>
      </c>
      <c r="C44" s="15">
        <f>+C5</f>
        <v>1420</v>
      </c>
      <c r="D44" s="16">
        <f>693.52-D5-D7-D9-D11-'[2]JAN-07'!$AE$89-'[5]Jan'!$E$13</f>
        <v>440.516933670172</v>
      </c>
      <c r="E44" s="17">
        <f>D44/$D52</f>
        <v>0.38131386168139647</v>
      </c>
      <c r="F44" s="16">
        <f>483.04-F5-F7-F9-F11-'[2]FEB-07'!$AD$102-'[5]Jan'!$E$13</f>
        <v>279.537818952608</v>
      </c>
      <c r="G44" s="17">
        <f>SUM(F44/F52)</f>
        <v>0.4023345331745053</v>
      </c>
      <c r="H44" s="16">
        <f>408.82-'[2]MAR-07'!$AE$112-H5-119.19-'[5]Mar'!$E$13</f>
        <v>138.58335934700392</v>
      </c>
      <c r="I44" s="17">
        <f>SUM(H44/H52)</f>
        <v>0.20183797404580572</v>
      </c>
      <c r="J44" s="16">
        <f>636.65-J5-J7-J9-J11-'[5]April'!$E$13-'[2]APR-07'!$AD$107</f>
        <v>410.1479519041434</v>
      </c>
      <c r="K44" s="17">
        <f>SUM(J44/J52)</f>
        <v>0.49284237314681445</v>
      </c>
      <c r="L44" s="16">
        <f>491.02-104.94-'[5]May'!$E$13-'[2]MAY-07'!$AF$107</f>
        <v>299.1</v>
      </c>
      <c r="M44" s="17">
        <f>SUM(L44/L52)</f>
        <v>0.3638549974645201</v>
      </c>
      <c r="N44" s="16">
        <f>696.89-209.98-54.7</f>
        <v>432.21</v>
      </c>
      <c r="O44" s="17">
        <f>SUM(N44/N52)</f>
        <v>0.45927508293365576</v>
      </c>
      <c r="P44" s="12">
        <v>1</v>
      </c>
      <c r="Q44" s="5" t="s">
        <v>13</v>
      </c>
      <c r="R44" s="16">
        <f>276.35+44.65+383.4-99.68-9.76</f>
        <v>594.96</v>
      </c>
      <c r="S44" s="17">
        <f>SUM(R44/R52)</f>
        <v>0.4985002094679514</v>
      </c>
      <c r="T44" s="16">
        <f>182.21+44.41+390.96+21.98-270.15</f>
        <v>369.40999999999997</v>
      </c>
      <c r="U44" s="17">
        <f>SUM(T44/T52)</f>
        <v>0.40064422367793145</v>
      </c>
      <c r="V44" s="16">
        <v>0</v>
      </c>
      <c r="W44" s="17" t="e">
        <f>+V44/V$52</f>
        <v>#DIV/0!</v>
      </c>
      <c r="X44" s="16">
        <v>0</v>
      </c>
      <c r="Y44" s="17" t="e">
        <f>+X44/X$52</f>
        <v>#DIV/0!</v>
      </c>
      <c r="Z44" s="16">
        <v>0</v>
      </c>
      <c r="AA44" s="17" t="e">
        <f>+Z44/Z$54</f>
        <v>#DIV/0!</v>
      </c>
      <c r="AB44" s="16">
        <v>0</v>
      </c>
      <c r="AC44" s="65" t="e">
        <f>+AB44/AB$54</f>
        <v>#DIV/0!</v>
      </c>
      <c r="AD44" s="16">
        <f>D44+F44+H44+J44+L44+R44+T44+N44</f>
        <v>2964.4660638739274</v>
      </c>
      <c r="AE44" s="4"/>
      <c r="AF44" s="55"/>
    </row>
    <row r="45" spans="1:32" s="38" customFormat="1" ht="15.75" customHeight="1">
      <c r="A45" s="12">
        <v>2</v>
      </c>
      <c r="B45" s="5" t="s">
        <v>11</v>
      </c>
      <c r="C45" s="15">
        <v>750</v>
      </c>
      <c r="D45" s="16">
        <v>0</v>
      </c>
      <c r="E45" s="17">
        <f>D45/$D52</f>
        <v>0</v>
      </c>
      <c r="F45" s="16">
        <f>'[4]STRATEGIC '!$C$15-F32-F33-'[5]Feb'!$E$16</f>
        <v>171.52308733891547</v>
      </c>
      <c r="G45" s="17">
        <f>SUM(F45/F52)</f>
        <v>0.2332133754269092</v>
      </c>
      <c r="H45" s="16">
        <f>410.43-'[5]Mar'!$E$17-H32-H33</f>
        <v>287.2636084555632</v>
      </c>
      <c r="I45" s="17">
        <f>SUM(H45/H52)</f>
        <v>0.41838143497862873</v>
      </c>
      <c r="J45" s="16">
        <f>288.29-'[5]April'!$E$17-J32-J33</f>
        <v>177.17123758850397</v>
      </c>
      <c r="K45" s="17">
        <f>SUM(J45/J52)</f>
        <v>0.21289267148866212</v>
      </c>
      <c r="L45" s="16">
        <f>407.17-'[5]May'!$E$17-L32-L33</f>
        <v>263.52075973737476</v>
      </c>
      <c r="M45" s="17">
        <f>SUM(L45/L52)</f>
        <v>0.3205728698297924</v>
      </c>
      <c r="N45" s="16">
        <f>334.74-133.48</f>
        <v>201.26000000000002</v>
      </c>
      <c r="O45" s="17">
        <f>SUM(N45/N52)</f>
        <v>0.21386294438173012</v>
      </c>
      <c r="P45" s="12">
        <v>2</v>
      </c>
      <c r="Q45" s="5" t="s">
        <v>11</v>
      </c>
      <c r="R45" s="16">
        <f>430.64-175.47</f>
        <v>255.17</v>
      </c>
      <c r="S45" s="17">
        <f>SUM(R45/R52)</f>
        <v>0.2137997486384583</v>
      </c>
      <c r="T45" s="16">
        <f>455.42-291.95</f>
        <v>163.47000000000003</v>
      </c>
      <c r="U45" s="17">
        <f>SUM(T45/T52)</f>
        <v>0.1772916576287363</v>
      </c>
      <c r="V45" s="16">
        <v>0</v>
      </c>
      <c r="W45" s="17" t="e">
        <f>+V45/V$52</f>
        <v>#DIV/0!</v>
      </c>
      <c r="X45" s="16">
        <v>0</v>
      </c>
      <c r="Y45" s="17" t="e">
        <f>+X45/X$52</f>
        <v>#DIV/0!</v>
      </c>
      <c r="Z45" s="16">
        <v>0</v>
      </c>
      <c r="AA45" s="17" t="e">
        <f>+Z45/Z$54</f>
        <v>#DIV/0!</v>
      </c>
      <c r="AB45" s="16">
        <v>0</v>
      </c>
      <c r="AC45" s="65" t="e">
        <f>+AB45/AB$54</f>
        <v>#DIV/0!</v>
      </c>
      <c r="AD45" s="16">
        <f>D45+F45+H45+J45+L45+R45+T45+N45</f>
        <v>1519.3786931203574</v>
      </c>
      <c r="AE45" s="4"/>
      <c r="AF45" s="55"/>
    </row>
    <row r="46" spans="1:32" s="38" customFormat="1" ht="17.25" customHeight="1">
      <c r="A46" s="12">
        <v>3</v>
      </c>
      <c r="B46" s="44" t="s">
        <v>35</v>
      </c>
      <c r="C46" s="51" t="s">
        <v>12</v>
      </c>
      <c r="D46" s="45">
        <f>772.69+63.91-D21-D19-D23-D25-D27-'[2]JAN-07'!$AE$88-'[5]Jan'!$E$15-'[5]Jan'!$E$16-'[5]Jan'!$E$17</f>
        <v>563.543805416838</v>
      </c>
      <c r="E46" s="52">
        <f>D46/$D52</f>
        <v>0.4878065932217177</v>
      </c>
      <c r="F46" s="45">
        <f>'[4]CUSTOM ALLOY INDUSTRIAL'!$C$58+'[4]RECYCLE ZONE'!$C$7+'[4]DRIP HOSE'!$E$7+'[4]STD IRON'!$C$13-'[5]Feb'!$H$17-F19-F21-F23-F25-F27-'[2]FEB-07'!$AD$100-'[2]FEB-07'!$AD$101</f>
        <v>88.83615211018082</v>
      </c>
      <c r="G46" s="52">
        <f>SUM(F46/F52)</f>
        <v>0.12078711510490124</v>
      </c>
      <c r="H46" s="45">
        <f>324.05-21.88-'[5]Mar'!$E$18-4.9-'[2]MAR-07'!$AE$110</f>
        <v>69.29000000000005</v>
      </c>
      <c r="I46" s="52">
        <f>SUM(H46/H52)</f>
        <v>0.10091654068375881</v>
      </c>
      <c r="J46" s="45">
        <f>170.59+84.58-'[2]APR-07'!$AD$105</f>
        <v>52.75000000000003</v>
      </c>
      <c r="K46" s="52">
        <f>SUM(J46/J52)</f>
        <v>0.06338550531046025</v>
      </c>
      <c r="L46" s="45">
        <f>274.34-28.65-'[2]MAY-07'!$AF$105</f>
        <v>40.91</v>
      </c>
      <c r="M46" s="52">
        <f>SUM(L46/L52)</f>
        <v>0.049766994136655016</v>
      </c>
      <c r="N46" s="45">
        <v>133.39</v>
      </c>
      <c r="O46" s="52">
        <f>SUM(N46/N52)</f>
        <v>0.14174291041975043</v>
      </c>
      <c r="P46" s="12">
        <v>3</v>
      </c>
      <c r="Q46" s="44" t="s">
        <v>35</v>
      </c>
      <c r="R46" s="45">
        <f>43.33+9.76+38.18+56.53</f>
        <v>147.8</v>
      </c>
      <c r="S46" s="52">
        <f>SUM(R46/R52)</f>
        <v>0.12383745286971094</v>
      </c>
      <c r="T46" s="45">
        <f>45.58+20.41+134.3</f>
        <v>200.29000000000002</v>
      </c>
      <c r="U46" s="17">
        <f>SUM(T46/T52)</f>
        <v>0.21722484924732116</v>
      </c>
      <c r="V46" s="45">
        <v>0</v>
      </c>
      <c r="W46" s="52" t="e">
        <f>+V46/V$52</f>
        <v>#DIV/0!</v>
      </c>
      <c r="X46" s="45">
        <v>0</v>
      </c>
      <c r="Y46" s="52" t="e">
        <f>+X46/X$52</f>
        <v>#DIV/0!</v>
      </c>
      <c r="Z46" s="45">
        <v>0</v>
      </c>
      <c r="AA46" s="52" t="e">
        <f>+Z46/Z$54</f>
        <v>#DIV/0!</v>
      </c>
      <c r="AB46" s="45">
        <v>0</v>
      </c>
      <c r="AC46" s="66" t="e">
        <f>+AB46/AB$54</f>
        <v>#DIV/0!</v>
      </c>
      <c r="AD46" s="16">
        <f>D46+F46+H46+J46+L46+R46+T46+N46</f>
        <v>1296.809957527019</v>
      </c>
      <c r="AE46" s="4"/>
      <c r="AF46" s="55"/>
    </row>
    <row r="47" spans="1:32" s="38" customFormat="1" ht="17.25" customHeight="1">
      <c r="A47" s="12">
        <v>4</v>
      </c>
      <c r="B47" s="5" t="s">
        <v>42</v>
      </c>
      <c r="C47" s="15" t="s">
        <v>12</v>
      </c>
      <c r="D47" s="16">
        <v>44.96</v>
      </c>
      <c r="E47" s="17">
        <f>D47/$D52</f>
        <v>0.03891762134626976</v>
      </c>
      <c r="F47" s="16">
        <f>'2007'!F47</f>
        <v>37.77</v>
      </c>
      <c r="G47" s="17">
        <f>SUM(F47/F52)</f>
        <v>0.05135442304900653</v>
      </c>
      <c r="H47" s="16">
        <v>68.74</v>
      </c>
      <c r="I47" s="17">
        <f>SUM(H47/H52)</f>
        <v>0.10011550016743506</v>
      </c>
      <c r="J47" s="16">
        <v>48.57</v>
      </c>
      <c r="K47" s="17">
        <f>SUM(J47/J52)</f>
        <v>0.05836272972377351</v>
      </c>
      <c r="L47" s="16">
        <v>76.84</v>
      </c>
      <c r="M47" s="17">
        <f>SUM(L47/L52)</f>
        <v>0.09347582081301814</v>
      </c>
      <c r="N47" s="16">
        <f>'[6]BP JUNE'!$D$26-3.68</f>
        <v>75.109995</v>
      </c>
      <c r="O47" s="17">
        <f>SUM(N47/N52)</f>
        <v>0.07981339900227082</v>
      </c>
      <c r="P47" s="60">
        <v>4</v>
      </c>
      <c r="Q47" s="5" t="s">
        <v>42</v>
      </c>
      <c r="R47" s="16">
        <f>'[7]BP JULY'!$D$15+55.4</f>
        <v>78.75</v>
      </c>
      <c r="S47" s="17">
        <f>SUM(R47/R52)</f>
        <v>0.06598240469208211</v>
      </c>
      <c r="T47" s="16">
        <v>68.04</v>
      </c>
      <c r="U47" s="17">
        <f>SUM(T47/T52)</f>
        <v>0.07379289401761312</v>
      </c>
      <c r="V47" s="16">
        <v>0</v>
      </c>
      <c r="W47" s="17" t="e">
        <f>SUM(V47/V52)</f>
        <v>#DIV/0!</v>
      </c>
      <c r="X47" s="16">
        <v>0</v>
      </c>
      <c r="Y47" s="17" t="e">
        <f>SUM(X47/X52)</f>
        <v>#DIV/0!</v>
      </c>
      <c r="Z47" s="16">
        <v>0</v>
      </c>
      <c r="AA47" s="52" t="e">
        <f>+Z47/Z$54</f>
        <v>#DIV/0!</v>
      </c>
      <c r="AB47" s="16">
        <v>0</v>
      </c>
      <c r="AC47" s="66" t="e">
        <f>+AB47/AB$54</f>
        <v>#DIV/0!</v>
      </c>
      <c r="AD47" s="16">
        <f>D47+F47+H47+J47+L47+R47+T47+N47</f>
        <v>498.779995</v>
      </c>
      <c r="AE47" s="4"/>
      <c r="AF47" s="55"/>
    </row>
    <row r="48" spans="1:32" s="38" customFormat="1" ht="16.5" customHeight="1">
      <c r="A48" s="12">
        <v>5</v>
      </c>
      <c r="B48" s="5" t="s">
        <v>36</v>
      </c>
      <c r="C48" s="15" t="s">
        <v>12</v>
      </c>
      <c r="D48" s="16">
        <v>3.42</v>
      </c>
      <c r="E48" s="17">
        <f>D48/$D52</f>
        <v>0.002960370662905751</v>
      </c>
      <c r="F48" s="16">
        <f>'2007'!F48</f>
        <v>59.52</v>
      </c>
      <c r="G48" s="17">
        <f>SUM(F48/F52)</f>
        <v>0.08092706539255676</v>
      </c>
      <c r="H48" s="16">
        <v>23.24</v>
      </c>
      <c r="I48" s="17">
        <f>SUM(H48/H52)</f>
        <v>0.0338476029079312</v>
      </c>
      <c r="J48" s="16">
        <v>32.39</v>
      </c>
      <c r="K48" s="17">
        <f>SUM(J48/J52)</f>
        <v>0.0389205026920532</v>
      </c>
      <c r="L48" s="16">
        <f>2.01+22.5</f>
        <v>24.509999999999998</v>
      </c>
      <c r="M48" s="17">
        <f>SUM(L48/L52)</f>
        <v>0.029816402500352345</v>
      </c>
      <c r="N48" s="16">
        <v>3.68</v>
      </c>
      <c r="O48" s="17">
        <f>SUM(N48/N52)</f>
        <v>0.003910442389569546</v>
      </c>
      <c r="P48" s="60">
        <v>5</v>
      </c>
      <c r="Q48" s="5" t="s">
        <v>36</v>
      </c>
      <c r="R48" s="16">
        <f>'[7]BP JULY'!$D$21+'[7]BP JULY'!$D$22+'[7]BP JULY'!$D$23+'[7]BP JULY'!$D$24</f>
        <v>16.77</v>
      </c>
      <c r="S48" s="17">
        <f>SUM(R48/R52)</f>
        <v>0.014051110180142438</v>
      </c>
      <c r="T48" s="16">
        <v>14.6</v>
      </c>
      <c r="U48" s="17">
        <f>SUM(T48/T52)</f>
        <v>0.015834454036701227</v>
      </c>
      <c r="V48" s="16">
        <v>0</v>
      </c>
      <c r="W48" s="17" t="e">
        <f>SUM(V48/V52)</f>
        <v>#DIV/0!</v>
      </c>
      <c r="X48" s="16">
        <v>0</v>
      </c>
      <c r="Y48" s="17" t="e">
        <f>SUM(X48/X52)</f>
        <v>#DIV/0!</v>
      </c>
      <c r="Z48" s="16">
        <v>0</v>
      </c>
      <c r="AA48" s="17" t="e">
        <f>+Z48/Z$52</f>
        <v>#DIV/0!</v>
      </c>
      <c r="AB48" s="16">
        <v>0</v>
      </c>
      <c r="AC48" s="17" t="e">
        <f>+AB48/AB$54</f>
        <v>#DIV/0!</v>
      </c>
      <c r="AD48" s="16">
        <f>D48+F48+H48+J48+L48+R48+T48+N48</f>
        <v>178.13000000000002</v>
      </c>
      <c r="AE48" s="4"/>
      <c r="AF48" s="55"/>
    </row>
    <row r="49" spans="1:32" s="38" customFormat="1" ht="16.5" customHeight="1">
      <c r="A49" s="12">
        <v>6</v>
      </c>
      <c r="B49" s="5" t="s">
        <v>43</v>
      </c>
      <c r="C49" s="15" t="s">
        <v>12</v>
      </c>
      <c r="D49" s="45"/>
      <c r="E49" s="52"/>
      <c r="F49" s="45"/>
      <c r="G49" s="52"/>
      <c r="H49" s="45"/>
      <c r="I49" s="52"/>
      <c r="J49" s="45"/>
      <c r="K49" s="52"/>
      <c r="L49" s="45"/>
      <c r="M49" s="52"/>
      <c r="N49" s="45"/>
      <c r="O49" s="52"/>
      <c r="P49" s="60">
        <v>6</v>
      </c>
      <c r="Q49" s="5" t="s">
        <v>43</v>
      </c>
      <c r="R49" s="45"/>
      <c r="S49" s="52"/>
      <c r="T49" s="16"/>
      <c r="U49" s="16"/>
      <c r="V49" s="45"/>
      <c r="W49" s="52" t="e">
        <f>SUM(V49/V52)</f>
        <v>#DIV/0!</v>
      </c>
      <c r="X49" s="45"/>
      <c r="Y49" s="52" t="e">
        <f>SUM(X49/X52)</f>
        <v>#DIV/0!</v>
      </c>
      <c r="Z49" s="45"/>
      <c r="AA49" s="52" t="e">
        <f>SUM(Z49/Z52)</f>
        <v>#DIV/0!</v>
      </c>
      <c r="AB49" s="45"/>
      <c r="AC49" s="52" t="e">
        <f>SUM(AB49/AB52)</f>
        <v>#DIV/0!</v>
      </c>
      <c r="AD49" s="16">
        <f>SUM(D49+F49+H49+J49+L49+N49+R49+T49+V49+X49+Z49+AB49)</f>
        <v>0</v>
      </c>
      <c r="AE49" s="4"/>
      <c r="AF49" s="55"/>
    </row>
    <row r="50" spans="1:32" s="38" customFormat="1" ht="16.5" customHeight="1">
      <c r="A50" s="12">
        <v>7</v>
      </c>
      <c r="B50" s="5" t="s">
        <v>46</v>
      </c>
      <c r="C50" s="15" t="s">
        <v>12</v>
      </c>
      <c r="D50" s="67">
        <v>102.82</v>
      </c>
      <c r="E50" s="17"/>
      <c r="F50" s="67">
        <f>'[3]FEB-07'!$AC$10</f>
        <v>81.92</v>
      </c>
      <c r="G50" s="17"/>
      <c r="H50" s="67">
        <f>'[3]MAR-07'!$AE$10</f>
        <v>99.49</v>
      </c>
      <c r="I50" s="17"/>
      <c r="J50" s="67">
        <v>111.18</v>
      </c>
      <c r="K50" s="17"/>
      <c r="L50" s="67">
        <f>'[3]MAY-07'!$AF$10</f>
        <v>117.14999999999999</v>
      </c>
      <c r="M50" s="17"/>
      <c r="N50" s="67">
        <f>'[3]JUNE-07'!$AD$10</f>
        <v>95.42</v>
      </c>
      <c r="O50" s="17"/>
      <c r="P50" s="12">
        <v>7</v>
      </c>
      <c r="Q50" s="5" t="s">
        <v>45</v>
      </c>
      <c r="R50" s="69">
        <v>100.05</v>
      </c>
      <c r="S50" s="17"/>
      <c r="T50" s="69">
        <v>106.23</v>
      </c>
      <c r="U50" s="17"/>
      <c r="V50" s="16"/>
      <c r="W50" s="17"/>
      <c r="X50" s="16"/>
      <c r="Y50" s="17"/>
      <c r="Z50" s="16"/>
      <c r="AA50" s="17"/>
      <c r="AB50" s="16"/>
      <c r="AC50" s="17"/>
      <c r="AD50" s="67">
        <f>SUM(D50+F50+H50+J50+L50+N50+R50+T50+V50+X50+Z50+AB50)</f>
        <v>814.26</v>
      </c>
      <c r="AE50" s="4"/>
      <c r="AF50" s="55"/>
    </row>
    <row r="51" spans="1:32" s="32" customFormat="1" ht="12.75">
      <c r="A51" s="1"/>
      <c r="B51" s="1"/>
      <c r="C51" s="25"/>
      <c r="D51" s="18"/>
      <c r="E51" s="50"/>
      <c r="F51" s="24"/>
      <c r="G51" s="46"/>
      <c r="H51" s="54"/>
      <c r="I51" s="46"/>
      <c r="J51" s="24"/>
      <c r="K51" s="46"/>
      <c r="L51" s="24"/>
      <c r="M51" s="46"/>
      <c r="N51" s="24"/>
      <c r="O51" s="46"/>
      <c r="P51" s="24"/>
      <c r="Q51" s="24"/>
      <c r="R51" s="24"/>
      <c r="S51" s="46"/>
      <c r="T51" s="1"/>
      <c r="U51" s="56"/>
      <c r="V51" s="24"/>
      <c r="W51" s="46"/>
      <c r="X51" s="24"/>
      <c r="Y51" s="46" t="s">
        <v>0</v>
      </c>
      <c r="Z51" s="24"/>
      <c r="AA51" s="46"/>
      <c r="AB51" s="24"/>
      <c r="AC51" s="46"/>
      <c r="AD51" s="24"/>
      <c r="AE51" s="1"/>
      <c r="AF51" s="24"/>
    </row>
    <row r="52" spans="1:32" s="32" customFormat="1" ht="13.5" thickBot="1">
      <c r="A52" s="19"/>
      <c r="B52" s="20" t="s">
        <v>15</v>
      </c>
      <c r="C52" s="57"/>
      <c r="D52" s="16">
        <f>SUM(D44:D51)</f>
        <v>1155.26073908701</v>
      </c>
      <c r="E52" s="58"/>
      <c r="F52" s="16">
        <f>SUM(F44:F50)</f>
        <v>735.4770584017042</v>
      </c>
      <c r="G52" s="58"/>
      <c r="H52" s="16">
        <f>SUM(H44:H51)</f>
        <v>686.6069678025672</v>
      </c>
      <c r="I52" s="58"/>
      <c r="J52" s="16">
        <f>SUM(J44:J51)</f>
        <v>832.2091894926475</v>
      </c>
      <c r="K52" s="58"/>
      <c r="L52" s="16">
        <f>SUM(L44:L51)</f>
        <v>822.0307597373748</v>
      </c>
      <c r="M52" s="58"/>
      <c r="N52" s="16">
        <f>SUM(N44:N51)</f>
        <v>941.069995</v>
      </c>
      <c r="O52" s="58"/>
      <c r="P52" s="59"/>
      <c r="Q52" s="53" t="s">
        <v>15</v>
      </c>
      <c r="R52" s="16">
        <f>SUM(R44:R51)</f>
        <v>1193.5</v>
      </c>
      <c r="S52" s="16"/>
      <c r="T52" s="16">
        <f>SUM(T44:T50)</f>
        <v>922.0400000000001</v>
      </c>
      <c r="U52" s="16"/>
      <c r="V52" s="16">
        <f>SUM(V44:V51)</f>
        <v>0</v>
      </c>
      <c r="W52" s="58"/>
      <c r="X52" s="16">
        <f>SUM(X44:X51)</f>
        <v>0</v>
      </c>
      <c r="Y52" s="58"/>
      <c r="Z52" s="16">
        <f>SUM(Z44:Z51)</f>
        <v>0</v>
      </c>
      <c r="AA52" s="58"/>
      <c r="AB52" s="16">
        <f>SUM(AB44:AB51)</f>
        <v>0</v>
      </c>
      <c r="AC52" s="58"/>
      <c r="AD52" s="16">
        <f>SUM(AD44:AD51)</f>
        <v>7288.194709521304</v>
      </c>
      <c r="AE52" s="1"/>
      <c r="AF52" s="24"/>
    </row>
    <row r="53" spans="1:32" s="32" customFormat="1" ht="13.5" thickTop="1">
      <c r="A53" s="1"/>
      <c r="B53" s="1"/>
      <c r="C53" s="2"/>
      <c r="D53" s="18"/>
      <c r="E53" s="26"/>
      <c r="F53" s="1"/>
      <c r="G53" s="3"/>
      <c r="H53" s="36"/>
      <c r="I53" s="3" t="s">
        <v>0</v>
      </c>
      <c r="J53" s="1"/>
      <c r="K53" s="3"/>
      <c r="L53" s="1"/>
      <c r="M53" s="3"/>
      <c r="N53" s="1"/>
      <c r="O53" s="3"/>
      <c r="P53" s="1"/>
      <c r="Q53" s="1"/>
      <c r="R53" s="1"/>
      <c r="S53" s="3"/>
      <c r="T53" s="72"/>
      <c r="U53" s="3"/>
      <c r="V53" s="1"/>
      <c r="W53" s="3"/>
      <c r="X53" s="1"/>
      <c r="Y53" s="3"/>
      <c r="Z53" s="1"/>
      <c r="AA53" s="3"/>
      <c r="AB53" s="1"/>
      <c r="AC53" s="3"/>
      <c r="AD53" s="1"/>
      <c r="AE53" s="1"/>
      <c r="AF53" s="1"/>
    </row>
    <row r="54" spans="1:32" s="32" customFormat="1" ht="13.5" thickBot="1">
      <c r="A54" s="19"/>
      <c r="B54" s="20" t="s">
        <v>17</v>
      </c>
      <c r="C54" s="21"/>
      <c r="D54" s="22">
        <f>D37+D52</f>
        <v>1445.0998989483578</v>
      </c>
      <c r="E54" s="23"/>
      <c r="F54" s="22">
        <f>F37+F52</f>
        <v>1002.91576951469</v>
      </c>
      <c r="G54" s="23"/>
      <c r="H54" s="22">
        <f>H37+H52</f>
        <v>993.7669129573646</v>
      </c>
      <c r="I54" s="23"/>
      <c r="J54" s="22">
        <f>J37+J52</f>
        <v>1101.4110295362186</v>
      </c>
      <c r="K54" s="23"/>
      <c r="L54" s="22">
        <f>L37+L52</f>
        <v>1177.532929357753</v>
      </c>
      <c r="M54" s="23"/>
      <c r="N54" s="22">
        <f>N37+N52</f>
        <v>1279.3251488471226</v>
      </c>
      <c r="O54" s="23"/>
      <c r="P54" s="19"/>
      <c r="Q54" s="20" t="s">
        <v>17</v>
      </c>
      <c r="R54" s="22">
        <f>R37+R52</f>
        <v>1533.0929452032574</v>
      </c>
      <c r="S54" s="22"/>
      <c r="T54" s="22">
        <f>T37+T52</f>
        <v>1255.7069267406023</v>
      </c>
      <c r="U54" s="22"/>
      <c r="V54" s="22">
        <f>V37+V52</f>
        <v>0</v>
      </c>
      <c r="W54" s="43"/>
      <c r="X54" s="22">
        <f>+X52+X37</f>
        <v>0</v>
      </c>
      <c r="Y54" s="23"/>
      <c r="Z54" s="22">
        <f>+Z52+Z37</f>
        <v>0</v>
      </c>
      <c r="AA54" s="23"/>
      <c r="AB54" s="22">
        <f>+AB52+AB37</f>
        <v>0</v>
      </c>
      <c r="AC54" s="23"/>
      <c r="AD54" s="22">
        <f>+AD52+AD37</f>
        <v>9788.851561105366</v>
      </c>
      <c r="AE54" s="1"/>
      <c r="AF54" s="1"/>
    </row>
    <row r="55" spans="1:32" s="31" customFormat="1" ht="17.25" customHeight="1" thickTop="1">
      <c r="A55" s="40"/>
      <c r="B55" s="5" t="s">
        <v>34</v>
      </c>
      <c r="C55" s="6"/>
      <c r="D55" s="27">
        <f>D39/D54</f>
        <v>0.024875982482738347</v>
      </c>
      <c r="E55" s="46"/>
      <c r="F55" s="27">
        <f>F39/F54</f>
        <v>0.028567991209150538</v>
      </c>
      <c r="G55" s="28" t="s">
        <v>0</v>
      </c>
      <c r="H55" s="27">
        <f>H39/H54</f>
        <v>0.03635242983840693</v>
      </c>
      <c r="I55" s="28"/>
      <c r="J55" s="27">
        <f>J39/J54</f>
        <v>0.02649161772850156</v>
      </c>
      <c r="K55" s="28"/>
      <c r="L55" s="27">
        <f>L39/L54</f>
        <v>0.031114060138942155</v>
      </c>
      <c r="M55" s="28"/>
      <c r="N55" s="27">
        <f>N39/N54</f>
        <v>0.021663645225651066</v>
      </c>
      <c r="O55" s="28"/>
      <c r="P55" s="40"/>
      <c r="Q55" s="5" t="s">
        <v>16</v>
      </c>
      <c r="R55" s="27">
        <f>R39/R54</f>
        <v>0.009632197997483376</v>
      </c>
      <c r="S55" s="28"/>
      <c r="T55" s="27">
        <f>T39/T54</f>
        <v>0.012784092304934706</v>
      </c>
      <c r="U55" s="28" t="s">
        <v>0</v>
      </c>
      <c r="V55" s="27" t="e">
        <f>V39/V54</f>
        <v>#DIV/0!</v>
      </c>
      <c r="W55" s="28" t="s">
        <v>0</v>
      </c>
      <c r="X55" s="27" t="e">
        <f>X39/X54</f>
        <v>#DIV/0!</v>
      </c>
      <c r="Y55" s="29"/>
      <c r="Z55" s="27" t="e">
        <f>Z39/Z54</f>
        <v>#DIV/0!</v>
      </c>
      <c r="AA55" s="29"/>
      <c r="AB55" s="27" t="e">
        <f>AB39/AB54</f>
        <v>#DIV/0!</v>
      </c>
      <c r="AC55" s="29" t="s">
        <v>0</v>
      </c>
      <c r="AD55" s="27"/>
      <c r="AE55" s="5"/>
      <c r="AF55" s="5"/>
    </row>
    <row r="56" spans="1:32" s="31" customFormat="1" ht="17.25" customHeight="1">
      <c r="A56" s="41" t="s">
        <v>37</v>
      </c>
      <c r="B56" s="29" t="s">
        <v>38</v>
      </c>
      <c r="C56" s="29"/>
      <c r="D56" s="27"/>
      <c r="E56" s="28" t="s">
        <v>0</v>
      </c>
      <c r="F56" s="27"/>
      <c r="G56" s="28"/>
      <c r="H56" s="27"/>
      <c r="I56" s="28"/>
      <c r="J56" s="27"/>
      <c r="K56" s="28"/>
      <c r="L56" s="27"/>
      <c r="M56" s="28"/>
      <c r="N56" s="27"/>
      <c r="O56" s="28"/>
      <c r="P56" s="41" t="s">
        <v>37</v>
      </c>
      <c r="Q56" s="29" t="s">
        <v>38</v>
      </c>
      <c r="R56" s="29"/>
      <c r="S56" s="27"/>
      <c r="T56" s="12"/>
      <c r="U56" s="27" t="s">
        <v>0</v>
      </c>
      <c r="V56" s="28"/>
      <c r="W56" s="28"/>
      <c r="X56" s="39"/>
      <c r="Y56" s="29"/>
      <c r="Z56" s="39" t="s">
        <v>0</v>
      </c>
      <c r="AA56" s="29"/>
      <c r="AB56" s="39"/>
      <c r="AC56" s="29"/>
      <c r="AD56" s="39"/>
      <c r="AE56" s="5"/>
      <c r="AF56" s="5"/>
    </row>
    <row r="57" spans="1:32" s="31" customFormat="1" ht="17.25" customHeight="1">
      <c r="A57" s="41" t="s">
        <v>19</v>
      </c>
      <c r="B57" s="29" t="s">
        <v>40</v>
      </c>
      <c r="C57" s="29"/>
      <c r="D57" s="27"/>
      <c r="E57" s="28"/>
      <c r="F57" s="27"/>
      <c r="G57" s="28"/>
      <c r="H57" s="27"/>
      <c r="I57" s="28"/>
      <c r="J57" s="27"/>
      <c r="K57" s="28"/>
      <c r="L57" s="27"/>
      <c r="M57" s="28"/>
      <c r="N57" s="27"/>
      <c r="O57" s="28"/>
      <c r="P57" s="41" t="s">
        <v>19</v>
      </c>
      <c r="Q57" s="29" t="s">
        <v>40</v>
      </c>
      <c r="R57" s="29"/>
      <c r="S57" s="27"/>
      <c r="T57" s="27"/>
      <c r="U57" s="27"/>
      <c r="V57" s="28"/>
      <c r="W57" s="28"/>
      <c r="X57" s="39"/>
      <c r="Y57" s="29"/>
      <c r="Z57" s="39"/>
      <c r="AA57" s="29"/>
      <c r="AB57" s="39"/>
      <c r="AC57" s="29"/>
      <c r="AD57" s="39"/>
      <c r="AE57" s="5"/>
      <c r="AF57" s="5"/>
    </row>
    <row r="58" spans="1:32" s="31" customFormat="1" ht="17.25" customHeight="1">
      <c r="A58" s="41" t="s">
        <v>39</v>
      </c>
      <c r="B58" s="29" t="s">
        <v>49</v>
      </c>
      <c r="C58" s="29"/>
      <c r="D58" s="27"/>
      <c r="E58" s="28"/>
      <c r="F58" s="27"/>
      <c r="G58" s="28"/>
      <c r="H58" s="27"/>
      <c r="I58" s="28"/>
      <c r="J58" s="27"/>
      <c r="K58" s="28"/>
      <c r="L58" s="27"/>
      <c r="M58" s="28"/>
      <c r="N58" s="27"/>
      <c r="O58" s="28"/>
      <c r="P58" s="41" t="s">
        <v>39</v>
      </c>
      <c r="Q58" s="29" t="s">
        <v>41</v>
      </c>
      <c r="R58" s="29"/>
      <c r="S58" s="27"/>
      <c r="T58" s="68"/>
      <c r="U58" s="27"/>
      <c r="V58" s="28"/>
      <c r="W58" s="28"/>
      <c r="X58" s="39"/>
      <c r="Y58" s="29"/>
      <c r="Z58" s="39"/>
      <c r="AA58" s="29"/>
      <c r="AB58" s="39"/>
      <c r="AC58" s="29"/>
      <c r="AD58" s="39"/>
      <c r="AE58" s="5"/>
      <c r="AF58" s="5"/>
    </row>
    <row r="59" spans="1:32" s="31" customFormat="1" ht="17.25" customHeight="1">
      <c r="A59" s="41"/>
      <c r="B59" s="29"/>
      <c r="C59" s="29"/>
      <c r="D59" s="27"/>
      <c r="E59" s="28"/>
      <c r="F59" s="27"/>
      <c r="G59" s="28"/>
      <c r="H59" s="27"/>
      <c r="I59" s="28"/>
      <c r="J59" s="27"/>
      <c r="K59" s="28"/>
      <c r="L59" s="27"/>
      <c r="M59" s="28"/>
      <c r="N59" s="27"/>
      <c r="O59" s="28"/>
      <c r="P59" s="41"/>
      <c r="Q59" s="29"/>
      <c r="R59" s="29"/>
      <c r="S59" s="29"/>
      <c r="T59" s="68"/>
      <c r="U59" s="27"/>
      <c r="V59" s="27"/>
      <c r="W59" s="28"/>
      <c r="X59" s="39"/>
      <c r="Y59" s="29"/>
      <c r="Z59" s="39"/>
      <c r="AA59" s="29"/>
      <c r="AB59" s="39"/>
      <c r="AC59" s="29"/>
      <c r="AD59" s="39"/>
      <c r="AE59" s="5"/>
      <c r="AF59" s="5"/>
    </row>
    <row r="60" spans="1:32" s="31" customFormat="1" ht="12.75">
      <c r="A60" s="5"/>
      <c r="B60" s="29"/>
      <c r="C60" s="29"/>
      <c r="D60" s="30"/>
      <c r="E60" s="28"/>
      <c r="F60" s="27"/>
      <c r="G60" s="28" t="s">
        <v>0</v>
      </c>
      <c r="H60" s="27"/>
      <c r="I60" s="28"/>
      <c r="J60" s="27"/>
      <c r="K60" s="28"/>
      <c r="L60" s="27"/>
      <c r="M60" s="28"/>
      <c r="N60" s="27"/>
      <c r="O60" s="28"/>
      <c r="P60" s="5"/>
      <c r="Q60" s="29"/>
      <c r="R60" s="27"/>
      <c r="S60" s="28"/>
      <c r="T60" s="68"/>
      <c r="U60" s="28"/>
      <c r="V60" s="27"/>
      <c r="W60" s="28"/>
      <c r="X60" s="39"/>
      <c r="Y60" s="29"/>
      <c r="Z60" s="39"/>
      <c r="AA60" s="29"/>
      <c r="AB60" s="39"/>
      <c r="AC60" s="29"/>
      <c r="AD60" s="39"/>
      <c r="AE60" s="5"/>
      <c r="AF60" s="5"/>
    </row>
  </sheetData>
  <printOptions horizontalCentered="1" verticalCentered="1"/>
  <pageMargins left="0" right="0" top="0" bottom="0" header="0" footer="0"/>
  <pageSetup fitToHeight="1" fitToWidth="1" horizontalDpi="600" verticalDpi="600" orientation="landscape" scale="50" r:id="rId1"/>
  <headerFooter alignWithMargins="0">
    <oddFooter>&amp;CPage &amp;P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57"/>
  <sheetViews>
    <sheetView tabSelected="1" view="pageBreakPreview" zoomScaleSheetLayoutView="100" workbookViewId="0" topLeftCell="Q30">
      <selection activeCell="F42" sqref="F42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customWidth="1"/>
    <col min="7" max="7" width="10.00390625" style="0" customWidth="1"/>
    <col min="8" max="8" width="9.28125" style="0" customWidth="1"/>
    <col min="9" max="10" width="9.421875" style="0" customWidth="1"/>
    <col min="12" max="12" width="9.140625" style="68" customWidth="1"/>
    <col min="13" max="13" width="9.28125" style="0" customWidth="1"/>
    <col min="14" max="14" width="10.140625" style="68" customWidth="1"/>
    <col min="15" max="15" width="9.28125" style="0" customWidth="1"/>
    <col min="16" max="16" width="9.421875" style="0" customWidth="1"/>
    <col min="17" max="17" width="29.7109375" style="0" customWidth="1"/>
    <col min="18" max="18" width="10.8515625" style="0" customWidth="1"/>
    <col min="19" max="19" width="9.7109375" style="0" customWidth="1"/>
    <col min="20" max="20" width="10.421875" style="68" customWidth="1"/>
    <col min="21" max="21" width="9.7109375" style="0" customWidth="1"/>
    <col min="22" max="29" width="9.140625" style="0" hidden="1" customWidth="1"/>
    <col min="30" max="30" width="11.421875" style="0" customWidth="1"/>
    <col min="31" max="32" width="9.140625" style="62" customWidth="1"/>
  </cols>
  <sheetData>
    <row r="1" spans="1:32" s="32" customFormat="1" ht="15.75">
      <c r="A1" s="42" t="s">
        <v>31</v>
      </c>
      <c r="B1" s="42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42" t="s">
        <v>31</v>
      </c>
      <c r="Q1" s="42"/>
      <c r="R1" s="2"/>
      <c r="S1" s="1"/>
      <c r="T1" s="1"/>
      <c r="U1" s="3"/>
      <c r="V1" s="1"/>
      <c r="W1" s="3"/>
      <c r="X1" s="1"/>
      <c r="Y1" s="3"/>
      <c r="Z1" s="1"/>
      <c r="AA1" s="3"/>
      <c r="AB1" s="1"/>
      <c r="AC1" s="3"/>
      <c r="AD1" s="1"/>
      <c r="AE1" s="1"/>
      <c r="AF1" s="1"/>
    </row>
    <row r="2" spans="1:32" s="32" customFormat="1" ht="15.75">
      <c r="A2" s="42" t="s">
        <v>33</v>
      </c>
      <c r="B2" s="42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42" t="s">
        <v>33</v>
      </c>
      <c r="Q2" s="42"/>
      <c r="R2" s="6"/>
      <c r="S2" s="7"/>
      <c r="T2" s="7"/>
      <c r="U2" s="8"/>
      <c r="V2" s="7"/>
      <c r="W2" s="8"/>
      <c r="X2" s="7"/>
      <c r="Y2" s="8"/>
      <c r="Z2" s="7"/>
      <c r="AA2" s="8"/>
      <c r="AB2" s="7"/>
      <c r="AC2" s="8"/>
      <c r="AD2" s="7"/>
      <c r="AE2" s="1"/>
      <c r="AF2" s="1"/>
    </row>
    <row r="3" spans="1:32" s="32" customFormat="1" ht="15.75">
      <c r="A3" s="49">
        <v>2007</v>
      </c>
      <c r="B3" s="47"/>
      <c r="C3" s="48"/>
      <c r="D3" s="11">
        <v>39089</v>
      </c>
      <c r="E3" s="11">
        <v>39089</v>
      </c>
      <c r="F3" s="11">
        <v>39120</v>
      </c>
      <c r="G3" s="11">
        <v>39120</v>
      </c>
      <c r="H3" s="11">
        <v>39148</v>
      </c>
      <c r="I3" s="11">
        <v>39148</v>
      </c>
      <c r="J3" s="11">
        <v>39179</v>
      </c>
      <c r="K3" s="11">
        <v>39179</v>
      </c>
      <c r="L3" s="11">
        <v>39209</v>
      </c>
      <c r="M3" s="11">
        <v>39209</v>
      </c>
      <c r="N3" s="11">
        <v>39240</v>
      </c>
      <c r="O3" s="11">
        <v>39240</v>
      </c>
      <c r="P3" s="9"/>
      <c r="Q3" s="10"/>
      <c r="R3" s="11">
        <v>39270</v>
      </c>
      <c r="S3" s="11">
        <v>39270</v>
      </c>
      <c r="T3" s="11">
        <v>39301</v>
      </c>
      <c r="U3" s="11">
        <v>39301</v>
      </c>
      <c r="V3" s="11">
        <v>39332</v>
      </c>
      <c r="W3" s="11">
        <v>39332</v>
      </c>
      <c r="X3" s="11">
        <v>39362</v>
      </c>
      <c r="Y3" s="11">
        <v>39362</v>
      </c>
      <c r="Z3" s="11">
        <v>39393</v>
      </c>
      <c r="AA3" s="11">
        <v>39393</v>
      </c>
      <c r="AB3" s="11">
        <v>39423</v>
      </c>
      <c r="AC3" s="11">
        <v>39423</v>
      </c>
      <c r="AD3" s="11" t="s">
        <v>44</v>
      </c>
      <c r="AE3" s="1"/>
      <c r="AF3" s="1"/>
    </row>
    <row r="4" spans="1:32" s="32" customFormat="1" ht="33.75">
      <c r="A4" s="12"/>
      <c r="B4" s="5" t="s">
        <v>0</v>
      </c>
      <c r="C4" s="33" t="s">
        <v>21</v>
      </c>
      <c r="D4" s="13" t="s">
        <v>20</v>
      </c>
      <c r="E4" s="13" t="s">
        <v>22</v>
      </c>
      <c r="F4" s="13" t="s">
        <v>20</v>
      </c>
      <c r="G4" s="14" t="s">
        <v>22</v>
      </c>
      <c r="H4" s="13" t="s">
        <v>20</v>
      </c>
      <c r="I4" s="14" t="s">
        <v>22</v>
      </c>
      <c r="J4" s="13" t="s">
        <v>20</v>
      </c>
      <c r="K4" s="14" t="s">
        <v>22</v>
      </c>
      <c r="L4" s="13" t="s">
        <v>20</v>
      </c>
      <c r="M4" s="14" t="s">
        <v>22</v>
      </c>
      <c r="N4" s="13" t="s">
        <v>20</v>
      </c>
      <c r="O4" s="14" t="s">
        <v>22</v>
      </c>
      <c r="P4" s="12"/>
      <c r="Q4" s="5" t="s">
        <v>0</v>
      </c>
      <c r="R4" s="13" t="s">
        <v>20</v>
      </c>
      <c r="S4" s="14" t="s">
        <v>22</v>
      </c>
      <c r="T4" s="13" t="s">
        <v>20</v>
      </c>
      <c r="U4" s="14" t="s">
        <v>22</v>
      </c>
      <c r="V4" s="13" t="s">
        <v>20</v>
      </c>
      <c r="W4" s="14" t="s">
        <v>22</v>
      </c>
      <c r="X4" s="13" t="s">
        <v>20</v>
      </c>
      <c r="Y4" s="14" t="s">
        <v>22</v>
      </c>
      <c r="Z4" s="13" t="s">
        <v>20</v>
      </c>
      <c r="AA4" s="14" t="s">
        <v>22</v>
      </c>
      <c r="AB4" s="13" t="s">
        <v>20</v>
      </c>
      <c r="AC4" s="14" t="s">
        <v>22</v>
      </c>
      <c r="AD4" s="13" t="s">
        <v>23</v>
      </c>
      <c r="AE4" s="1" t="s">
        <v>0</v>
      </c>
      <c r="AF4" s="1"/>
    </row>
    <row r="5" spans="1:32" s="32" customFormat="1" ht="12.75" customHeight="1">
      <c r="A5" s="12">
        <v>1</v>
      </c>
      <c r="B5" s="5" t="s">
        <v>24</v>
      </c>
      <c r="C5" s="15">
        <v>1420</v>
      </c>
      <c r="D5" s="16">
        <f>'[2]JAN-07'!$AE$81*'[1]JAN 07'!$AY4</f>
        <v>58.480607249867816</v>
      </c>
      <c r="E5" s="17">
        <f>SUM(D5/D37)</f>
        <v>0.20176917183255552</v>
      </c>
      <c r="F5" s="16">
        <f>'[2]FEB-07'!$AD$93*'[1]FEB 07'!$AW4</f>
        <v>46.17777824647247</v>
      </c>
      <c r="G5" s="17">
        <f>SUM(F5/F37)</f>
        <v>0.17266676934800052</v>
      </c>
      <c r="H5" s="16">
        <f>'[2]MAR-07'!$AE$103*'[1]MARCH 07'!$AZ4</f>
        <v>53.996640652996064</v>
      </c>
      <c r="I5" s="17">
        <f>SUM(H5/H37)</f>
        <v>0.17579323575469355</v>
      </c>
      <c r="J5" s="16">
        <f>'[2]APR-07'!$AD$98*'[1]APRIL 07'!$AX4</f>
        <v>48.456070719343074</v>
      </c>
      <c r="K5" s="17">
        <f>SUM(J5/J37)</f>
        <v>0.17999903236731338</v>
      </c>
      <c r="L5" s="16">
        <f>'[2]MAY-07'!$AF$98*'[1]MAY 07'!$AZ4</f>
        <v>67.1864269141531</v>
      </c>
      <c r="M5" s="17">
        <f>SUM(L5/L37)</f>
        <v>0.18899020218610177</v>
      </c>
      <c r="N5" s="16">
        <f>'[2]JUN-07'!$AD$99*'[1]JUNE 07'!$AX4</f>
        <v>70.61874063251759</v>
      </c>
      <c r="O5" s="17">
        <f>SUM(N5/N37)</f>
        <v>0.20877358357837272</v>
      </c>
      <c r="P5" s="12">
        <v>1</v>
      </c>
      <c r="Q5" s="5" t="s">
        <v>24</v>
      </c>
      <c r="R5" s="16">
        <f>'[2]JUL-07'!$AE$98*'[1]JULY 07'!$AY4</f>
        <v>68.95298497874965</v>
      </c>
      <c r="S5" s="17">
        <f>SUM(R5/R37)</f>
        <v>0.20304598771178553</v>
      </c>
      <c r="T5" s="16">
        <f>'[2]AUG-07'!$AF$102*'[1]AUG 07'!$AY4</f>
        <v>64.6264345512336</v>
      </c>
      <c r="U5" s="17">
        <f>(T5/T37)</f>
        <v>0.19368546706900672</v>
      </c>
      <c r="V5" s="67">
        <v>0</v>
      </c>
      <c r="W5" s="17" t="e">
        <f>SUM(V5/V37)</f>
        <v>#DIV/0!</v>
      </c>
      <c r="X5" s="67">
        <v>0</v>
      </c>
      <c r="Y5" s="17" t="e">
        <f>SUM(X5/X37)</f>
        <v>#DIV/0!</v>
      </c>
      <c r="Z5" s="67">
        <v>0</v>
      </c>
      <c r="AA5" s="17" t="e">
        <f>SUM(Z5/Z37)</f>
        <v>#DIV/0!</v>
      </c>
      <c r="AB5" s="67">
        <v>0</v>
      </c>
      <c r="AC5" s="17" t="e">
        <f>SUM(AB5/AB37)</f>
        <v>#DIV/0!</v>
      </c>
      <c r="AD5" s="16">
        <f>SUM(D5+F5+H5+J5+L5+N5+R5+T5+V5+X5+Z5+AB5)</f>
        <v>478.4956839453334</v>
      </c>
      <c r="AE5" s="1" t="s">
        <v>0</v>
      </c>
      <c r="AF5" s="61"/>
    </row>
    <row r="6" spans="1:32" s="32" customFormat="1" ht="12.75">
      <c r="A6" s="12"/>
      <c r="B6" s="5"/>
      <c r="C6" s="15"/>
      <c r="D6" s="16"/>
      <c r="E6" s="17"/>
      <c r="F6" s="16"/>
      <c r="G6" s="17"/>
      <c r="H6" s="16"/>
      <c r="I6" s="17"/>
      <c r="J6" s="16"/>
      <c r="K6" s="34"/>
      <c r="L6" s="16"/>
      <c r="M6" s="17"/>
      <c r="N6" s="16"/>
      <c r="O6" s="17"/>
      <c r="P6" s="12"/>
      <c r="Q6" s="5"/>
      <c r="R6" s="16"/>
      <c r="S6" s="17"/>
      <c r="T6" s="16"/>
      <c r="U6" s="17" t="s">
        <v>0</v>
      </c>
      <c r="V6" s="67">
        <v>0</v>
      </c>
      <c r="W6" s="17"/>
      <c r="X6" s="67">
        <v>0</v>
      </c>
      <c r="Y6" s="17"/>
      <c r="Z6" s="67">
        <v>0</v>
      </c>
      <c r="AA6" s="17"/>
      <c r="AB6" s="67">
        <v>0</v>
      </c>
      <c r="AC6" s="17"/>
      <c r="AD6" s="16"/>
      <c r="AE6" s="1"/>
      <c r="AF6" s="61"/>
    </row>
    <row r="7" spans="1:32" s="32" customFormat="1" ht="12.75">
      <c r="A7" s="12">
        <v>2</v>
      </c>
      <c r="B7" s="5" t="s">
        <v>25</v>
      </c>
      <c r="C7" s="15">
        <v>1540</v>
      </c>
      <c r="D7" s="16">
        <f>'[2]JAN-07'!$AE$81*'[1]JAN 07'!$AY6</f>
        <v>1.2435809881910582</v>
      </c>
      <c r="E7" s="17">
        <f>SUM(D7/D37)</f>
        <v>0.004290589956118966</v>
      </c>
      <c r="F7" s="16">
        <f>'[2]FEB-07'!$AD$93*'[1]FEB 07'!$AW6</f>
        <v>1.0016025140784173</v>
      </c>
      <c r="G7" s="17">
        <f>(F7/F37)</f>
        <v>0.0037451665464214206</v>
      </c>
      <c r="H7" s="16">
        <f>'[2]MAR-07'!$AE$103*'[1]MARCH 07'!$AZ6</f>
        <v>2.278535855772788</v>
      </c>
      <c r="I7" s="17">
        <f>SUM(H7/H37)</f>
        <v>0.007418076125207302</v>
      </c>
      <c r="J7" s="16">
        <f>'[2]APR-07'!$AD$98*'[1]APRIL 07'!$AX6</f>
        <v>1.2034568687418827</v>
      </c>
      <c r="K7" s="17">
        <f>SUM(J7/J37)</f>
        <v>0.004470463012240554</v>
      </c>
      <c r="L7" s="16">
        <f>'[2]MAY-07'!$AF$98*'[1]MAY 07'!$AZ6</f>
        <v>1.5503011304734164</v>
      </c>
      <c r="M7" s="17">
        <f>SUM(L7/L37)</f>
        <v>0.0043608767061222185</v>
      </c>
      <c r="N7" s="16">
        <f>'[2]JUN-07'!$AD$99*'[1]JUNE 07'!$AX6</f>
        <v>1.0993280602541657</v>
      </c>
      <c r="O7" s="17">
        <f>SUM(N7/N37)</f>
        <v>0.0032499964826877897</v>
      </c>
      <c r="P7" s="12">
        <v>2</v>
      </c>
      <c r="Q7" s="5" t="s">
        <v>25</v>
      </c>
      <c r="R7" s="16">
        <f>'[2]JUL-07'!$AE$98*'[1]JULY 07'!$AY6</f>
        <v>1.9473957758816474</v>
      </c>
      <c r="S7" s="17">
        <f>SUM(R7/R37)</f>
        <v>0.0057345000930925346</v>
      </c>
      <c r="T7" s="16">
        <f>'[2]AUG-07'!$AF$102*'[1]AUG 07'!$AY6</f>
        <v>1.9043379003689551</v>
      </c>
      <c r="U7" s="17">
        <f>(T7/T37)</f>
        <v>0.00570730194619923</v>
      </c>
      <c r="V7" s="67">
        <v>0</v>
      </c>
      <c r="W7" s="17" t="e">
        <f>(V7/V37)</f>
        <v>#DIV/0!</v>
      </c>
      <c r="X7" s="67">
        <v>0</v>
      </c>
      <c r="Y7" s="17" t="e">
        <f>SUM(X7/X37)</f>
        <v>#DIV/0!</v>
      </c>
      <c r="Z7" s="67">
        <v>0</v>
      </c>
      <c r="AA7" s="17" t="e">
        <f>SUM(Z7/Z37)</f>
        <v>#DIV/0!</v>
      </c>
      <c r="AB7" s="67">
        <v>0</v>
      </c>
      <c r="AC7" s="17" t="e">
        <f>SUM(AB7/AB37)</f>
        <v>#DIV/0!</v>
      </c>
      <c r="AD7" s="16">
        <f aca="true" t="shared" si="0" ref="AD7:AD39">SUM(D7+F7+H7+J7+L7+N7+R7+T7+V7+X7+Z7+AB7)</f>
        <v>12.22853909376233</v>
      </c>
      <c r="AE7" s="1"/>
      <c r="AF7" s="61"/>
    </row>
    <row r="8" spans="1:32" s="32" customFormat="1" ht="12.75">
      <c r="A8" s="12"/>
      <c r="B8" s="5"/>
      <c r="C8" s="15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2"/>
      <c r="Q8" s="5"/>
      <c r="R8" s="16"/>
      <c r="S8" s="17"/>
      <c r="T8" s="16"/>
      <c r="U8" s="17"/>
      <c r="V8" s="67">
        <v>0</v>
      </c>
      <c r="W8" s="17"/>
      <c r="X8" s="67">
        <v>0</v>
      </c>
      <c r="Y8" s="17"/>
      <c r="Z8" s="67">
        <v>0</v>
      </c>
      <c r="AA8" s="17"/>
      <c r="AB8" s="67">
        <v>0</v>
      </c>
      <c r="AC8" s="17"/>
      <c r="AD8" s="16"/>
      <c r="AE8" s="1"/>
      <c r="AF8" s="61"/>
    </row>
    <row r="9" spans="1:32" s="32" customFormat="1" ht="12.75">
      <c r="A9" s="12">
        <v>3</v>
      </c>
      <c r="B9" s="5" t="s">
        <v>18</v>
      </c>
      <c r="C9" s="15">
        <v>2240</v>
      </c>
      <c r="D9" s="16">
        <f>'[2]JAN-07'!$AE$81*'[1]JAN 07'!$AY8</f>
        <v>20.349507079490042</v>
      </c>
      <c r="E9" s="17">
        <f>SUM(D9/D37)</f>
        <v>0.07020965382740126</v>
      </c>
      <c r="F9" s="16">
        <f>'[2]FEB-07'!$AD$93*'[1]FEB 07'!$AW8</f>
        <v>22.33877122308228</v>
      </c>
      <c r="G9" s="17">
        <f>SUM(F9/F37)</f>
        <v>0.08352856297473231</v>
      </c>
      <c r="H9" s="16">
        <f>'[2]MAR-07'!$AE$103*'[1]MARCH 07'!$AZ8</f>
        <v>23.19728470886889</v>
      </c>
      <c r="I9" s="17">
        <f>SUM(H9/H37)</f>
        <v>0.07552184155124228</v>
      </c>
      <c r="J9" s="16">
        <f>'[2]APR-07'!$AD$98*'[1]APRIL 07'!$AX8</f>
        <v>20.42229837865013</v>
      </c>
      <c r="K9" s="17">
        <f>SUM(J9/J37)</f>
        <v>0.07586240263196091</v>
      </c>
      <c r="L9" s="16">
        <f>'[2]MAY-07'!$AF$98*'[1]MAY 07'!$AZ8</f>
        <v>31.56976847509502</v>
      </c>
      <c r="M9" s="17">
        <f>SUM(L9/L37)</f>
        <v>0.08880330747012516</v>
      </c>
      <c r="N9" s="16">
        <f>'[2]JUN-07'!$AD$99*'[1]JUNE 07'!$AX8</f>
        <v>30.914437573208048</v>
      </c>
      <c r="O9" s="17">
        <f>SUM(N9/N37)</f>
        <v>0.0913938404828566</v>
      </c>
      <c r="P9" s="12">
        <v>3</v>
      </c>
      <c r="Q9" s="5" t="s">
        <v>18</v>
      </c>
      <c r="R9" s="16">
        <f>'[2]JUL-07'!$AE$98*'[1]JULY 07'!$AY8</f>
        <v>24.36015079648315</v>
      </c>
      <c r="S9" s="17">
        <f>SUM(R9/R37)</f>
        <v>0.07173338298268479</v>
      </c>
      <c r="T9" s="16">
        <f>'[2]AUG-07'!$AF$102*'[1]AUG 07'!$AY8</f>
        <v>28.25566553321256</v>
      </c>
      <c r="U9" s="17">
        <f>SUM(T9/T37)</f>
        <v>0.08468224828042051</v>
      </c>
      <c r="V9" s="67">
        <v>0</v>
      </c>
      <c r="W9" s="17" t="e">
        <f>SUM(V9/V37)</f>
        <v>#DIV/0!</v>
      </c>
      <c r="X9" s="67">
        <v>0</v>
      </c>
      <c r="Y9" s="17" t="e">
        <f>SUM(X9/X37)</f>
        <v>#DIV/0!</v>
      </c>
      <c r="Z9" s="67">
        <v>0</v>
      </c>
      <c r="AA9" s="17" t="e">
        <f>SUM(Z9/Z37)</f>
        <v>#DIV/0!</v>
      </c>
      <c r="AB9" s="67">
        <v>0</v>
      </c>
      <c r="AC9" s="17" t="e">
        <f>SUM(AB9/AB37)</f>
        <v>#DIV/0!</v>
      </c>
      <c r="AD9" s="16">
        <f t="shared" si="0"/>
        <v>201.40788376809007</v>
      </c>
      <c r="AE9" s="1"/>
      <c r="AF9" s="61"/>
    </row>
    <row r="10" spans="1:32" s="32" customFormat="1" ht="12.75">
      <c r="A10" s="12"/>
      <c r="B10" s="5"/>
      <c r="C10" s="15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2"/>
      <c r="Q10" s="5"/>
      <c r="R10" s="16"/>
      <c r="S10" s="17"/>
      <c r="T10" s="16"/>
      <c r="U10" s="17"/>
      <c r="V10" s="67">
        <v>0</v>
      </c>
      <c r="W10" s="17"/>
      <c r="X10" s="67">
        <v>0</v>
      </c>
      <c r="Y10" s="17"/>
      <c r="Z10" s="67">
        <v>0</v>
      </c>
      <c r="AA10" s="17"/>
      <c r="AB10" s="67">
        <v>0</v>
      </c>
      <c r="AC10" s="17"/>
      <c r="AD10" s="16"/>
      <c r="AE10" s="1"/>
      <c r="AF10" s="61"/>
    </row>
    <row r="11" spans="1:32" s="32" customFormat="1" ht="12.75">
      <c r="A11" s="12">
        <v>4</v>
      </c>
      <c r="B11" s="5" t="s">
        <v>1</v>
      </c>
      <c r="C11" s="15">
        <v>1620</v>
      </c>
      <c r="D11" s="16">
        <f>'[2]JAN-07'!$AE$81*'[1]JAN 07'!$AY10</f>
        <v>88.62937101227895</v>
      </c>
      <c r="E11" s="17">
        <f>SUM(D11/D37)</f>
        <v>0.3057881172946994</v>
      </c>
      <c r="F11" s="16">
        <f>'[2]FEB-07'!$AD$93*'[1]FEB 07'!$AW10</f>
        <v>88.15402906375887</v>
      </c>
      <c r="G11" s="17">
        <f>SUM(F11/F37)</f>
        <v>0.3296232946116619</v>
      </c>
      <c r="H11" s="16">
        <f>'[2]MAR-07'!$AE$103*'[1]MARCH 07'!$AZ10</f>
        <v>94.81120074292572</v>
      </c>
      <c r="I11" s="17">
        <f>SUM(H11/H37)</f>
        <v>0.30867045732523585</v>
      </c>
      <c r="J11" s="16">
        <f>'[2]APR-07'!$AD$98*'[1]APRIL 07'!$AX10</f>
        <v>86.93022212912146</v>
      </c>
      <c r="K11" s="17">
        <f>SUM(J11/J37)</f>
        <v>0.32291838018288266</v>
      </c>
      <c r="L11" s="16">
        <f>'[2]MAY-07'!$AF$98*'[1]MAY 07'!$AZ10</f>
        <v>104.37352026459988</v>
      </c>
      <c r="M11" s="17">
        <f>SUM(L11/L37)</f>
        <v>0.2935946083706179</v>
      </c>
      <c r="N11" s="16">
        <f>'[2]JUN-07'!$AD$99*'[1]JUNE 07'!$AX10</f>
        <v>94.22811945035706</v>
      </c>
      <c r="O11" s="17">
        <f>SUM(N11/N37)</f>
        <v>0.2785711270875248</v>
      </c>
      <c r="P11" s="12">
        <v>4</v>
      </c>
      <c r="Q11" s="5" t="s">
        <v>1</v>
      </c>
      <c r="R11" s="16">
        <f>'[2]JUL-07'!$AE$98*'[1]JULY 07'!$AY10</f>
        <v>100.15178275962757</v>
      </c>
      <c r="S11" s="17">
        <f>SUM(R11/R37)</f>
        <v>0.29491714764475885</v>
      </c>
      <c r="T11" s="16">
        <f>'[2]AUG-07'!$AF$102*'[1]AUG 07'!$AY10</f>
        <v>94.03038863354149</v>
      </c>
      <c r="U11" s="17">
        <f>SUM(T11/T37)</f>
        <v>0.2818091368901004</v>
      </c>
      <c r="V11" s="67">
        <v>0</v>
      </c>
      <c r="W11" s="17" t="e">
        <f>SUM(V11/V37)</f>
        <v>#DIV/0!</v>
      </c>
      <c r="X11" s="67">
        <v>0</v>
      </c>
      <c r="Y11" s="17" t="e">
        <f>SUM(X11/X37)</f>
        <v>#DIV/0!</v>
      </c>
      <c r="Z11" s="67">
        <v>0</v>
      </c>
      <c r="AA11" s="17" t="e">
        <f>SUM(Z11/Z37)</f>
        <v>#DIV/0!</v>
      </c>
      <c r="AB11" s="67">
        <v>0</v>
      </c>
      <c r="AC11" s="17" t="e">
        <f>SUM(AB11/AB37)</f>
        <v>#DIV/0!</v>
      </c>
      <c r="AD11" s="16">
        <f t="shared" si="0"/>
        <v>751.308634056211</v>
      </c>
      <c r="AE11" s="1"/>
      <c r="AF11" s="61"/>
    </row>
    <row r="12" spans="1:32" s="32" customFormat="1" ht="12.75">
      <c r="A12" s="12"/>
      <c r="B12" s="5"/>
      <c r="C12" s="15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2"/>
      <c r="Q12" s="5"/>
      <c r="R12" s="16"/>
      <c r="S12" s="17"/>
      <c r="T12" s="16"/>
      <c r="U12" s="17"/>
      <c r="V12" s="67">
        <v>0</v>
      </c>
      <c r="W12" s="17"/>
      <c r="X12" s="67">
        <v>0</v>
      </c>
      <c r="Y12" s="17"/>
      <c r="Z12" s="67">
        <v>0</v>
      </c>
      <c r="AA12" s="17"/>
      <c r="AB12" s="67">
        <v>0</v>
      </c>
      <c r="AC12" s="17"/>
      <c r="AD12" s="16"/>
      <c r="AE12" s="1"/>
      <c r="AF12" s="61"/>
    </row>
    <row r="13" spans="1:32" s="32" customFormat="1" ht="12.75">
      <c r="A13" s="12">
        <v>5</v>
      </c>
      <c r="B13" s="5" t="s">
        <v>2</v>
      </c>
      <c r="C13" s="15">
        <v>1900</v>
      </c>
      <c r="D13" s="16">
        <f>'[2]JAN-07'!$AE$81*'[1]JAN 07'!$AY12</f>
        <v>0</v>
      </c>
      <c r="E13" s="17">
        <f>SUM(D13/D37)</f>
        <v>0</v>
      </c>
      <c r="F13" s="16">
        <f>'[2]FEB-07'!$AD$93*'[1]FEB 07'!$AW12</f>
        <v>0</v>
      </c>
      <c r="G13" s="17">
        <f>SUM(F13/F37)</f>
        <v>0</v>
      </c>
      <c r="H13" s="16">
        <f>'[2]MAR-07'!$AE$103*'[1]MARCH 07'!$AZ12</f>
        <v>0</v>
      </c>
      <c r="I13" s="17">
        <f>SUM(H13/H37)</f>
        <v>0</v>
      </c>
      <c r="J13" s="16">
        <f>'[2]APR-07'!$AD$98*'[1]APRIL 07'!$AX12</f>
        <v>0</v>
      </c>
      <c r="K13" s="17">
        <f>SUM(J13/J37)</f>
        <v>0</v>
      </c>
      <c r="L13" s="16">
        <f>'[2]MAY-07'!$AF$98*'[1]MAY 07'!$AZ12</f>
        <v>0</v>
      </c>
      <c r="M13" s="17">
        <f>SUM(L13/L37)</f>
        <v>0</v>
      </c>
      <c r="N13" s="16">
        <f>'[2]JUN-07'!$AD$99*'[1]JUNE 07'!$AX12</f>
        <v>0</v>
      </c>
      <c r="O13" s="17">
        <f>SUM(N13/N37)</f>
        <v>0</v>
      </c>
      <c r="P13" s="12">
        <v>5</v>
      </c>
      <c r="Q13" s="5" t="s">
        <v>2</v>
      </c>
      <c r="R13" s="16">
        <f>'[2]JUL-07'!$AE$98*'[1]JULY 07'!$AY12</f>
        <v>0</v>
      </c>
      <c r="S13" s="17">
        <f>SUM(R13/R37)</f>
        <v>0</v>
      </c>
      <c r="T13" s="16">
        <f>'[2]AUG-07'!$AF$102*'[1]AUG 07'!$AY12</f>
        <v>0.4699015598313006</v>
      </c>
      <c r="U13" s="17">
        <f>SUM(T13/T37)</f>
        <v>0.0014082952854257839</v>
      </c>
      <c r="V13" s="67">
        <v>0</v>
      </c>
      <c r="W13" s="17" t="e">
        <f>SUM(V13/V37)</f>
        <v>#DIV/0!</v>
      </c>
      <c r="X13" s="67">
        <v>0</v>
      </c>
      <c r="Y13" s="17" t="e">
        <f>SUM(X13/X37)</f>
        <v>#DIV/0!</v>
      </c>
      <c r="Z13" s="67">
        <v>0</v>
      </c>
      <c r="AA13" s="17" t="e">
        <f>SUM(Z13/Z37)</f>
        <v>#DIV/0!</v>
      </c>
      <c r="AB13" s="67">
        <v>0</v>
      </c>
      <c r="AC13" s="17" t="e">
        <f>SUM(AB13/AB37)</f>
        <v>#DIV/0!</v>
      </c>
      <c r="AD13" s="16">
        <f t="shared" si="0"/>
        <v>0.4699015598313006</v>
      </c>
      <c r="AE13" s="1"/>
      <c r="AF13" s="61"/>
    </row>
    <row r="14" spans="1:32" s="32" customFormat="1" ht="12.75">
      <c r="A14" s="12"/>
      <c r="B14" s="5"/>
      <c r="C14" s="15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2"/>
      <c r="Q14" s="5"/>
      <c r="R14" s="16"/>
      <c r="S14" s="17"/>
      <c r="T14" s="16"/>
      <c r="U14" s="17"/>
      <c r="V14" s="67">
        <v>0</v>
      </c>
      <c r="W14" s="17"/>
      <c r="X14" s="67">
        <v>0</v>
      </c>
      <c r="Y14" s="17"/>
      <c r="Z14" s="67">
        <v>0</v>
      </c>
      <c r="AA14" s="17"/>
      <c r="AB14" s="67">
        <v>0</v>
      </c>
      <c r="AC14" s="17"/>
      <c r="AD14" s="16"/>
      <c r="AE14" s="1"/>
      <c r="AF14" s="61"/>
    </row>
    <row r="15" spans="1:32" s="32" customFormat="1" ht="12.75">
      <c r="A15" s="12">
        <v>6</v>
      </c>
      <c r="B15" s="5" t="s">
        <v>3</v>
      </c>
      <c r="C15" s="15">
        <v>1300</v>
      </c>
      <c r="D15" s="16">
        <f>'[2]JAN-07'!$AE$81*'[1]JAN 07'!$AY14</f>
        <v>0</v>
      </c>
      <c r="E15" s="17">
        <f>SUM(D15/D37)</f>
        <v>0</v>
      </c>
      <c r="F15" s="16">
        <f>'[2]FEB-07'!$AD$93*'[1]FEB 07'!$AW14</f>
        <v>0.8455086157804821</v>
      </c>
      <c r="G15" s="17">
        <f>SUM(F15/F37)</f>
        <v>0.003161504227498602</v>
      </c>
      <c r="H15" s="16">
        <f>'[2]MAR-07'!$AE$103*'[1]MARCH 07'!$AZ14</f>
        <v>0.00014790885139713002</v>
      </c>
      <c r="I15" s="17">
        <f>SUM(H15/H37)</f>
        <v>4.815369117304318E-07</v>
      </c>
      <c r="J15" s="16">
        <f>'[2]APR-07'!$AD$98*'[1]APRIL 07'!$AX14</f>
        <v>1.3545401985839374</v>
      </c>
      <c r="K15" s="17">
        <f>SUM(J15/J37)</f>
        <v>0.005031689970487204</v>
      </c>
      <c r="L15" s="16">
        <f>'[2]MAY-07'!$AF$98*'[1]MAY 07'!$AZ14</f>
        <v>0.6543478797452732</v>
      </c>
      <c r="M15" s="17">
        <f>SUM(L15/L37)</f>
        <v>0.0018406297785580792</v>
      </c>
      <c r="N15" s="16">
        <f>'[2]JUN-07'!$AD$99*'[1]JUNE 07'!$AX14</f>
        <v>1.237338942277416</v>
      </c>
      <c r="O15" s="17">
        <f>SUM(N15/N37)</f>
        <v>0.003658004699129114</v>
      </c>
      <c r="P15" s="12">
        <v>6</v>
      </c>
      <c r="Q15" s="5" t="s">
        <v>3</v>
      </c>
      <c r="R15" s="16">
        <f>'[2]JUL-07'!$AE$98*'[1]JULY 07'!$AY14</f>
        <v>0.6575622100379588</v>
      </c>
      <c r="S15" s="17">
        <f>SUM(R15/R37)</f>
        <v>0.001936324706758518</v>
      </c>
      <c r="T15" s="16">
        <f>'[2]AUG-07'!$AF$102*'[1]AUG 07'!$AY14</f>
        <v>0.9645347807063538</v>
      </c>
      <c r="U15" s="17">
        <f>SUM(T15/T37)</f>
        <v>0.0028907113753476616</v>
      </c>
      <c r="V15" s="67">
        <v>0</v>
      </c>
      <c r="W15" s="17" t="e">
        <f>SUM(V15/V37)</f>
        <v>#DIV/0!</v>
      </c>
      <c r="X15" s="67">
        <v>0</v>
      </c>
      <c r="Y15" s="17" t="e">
        <f>SUM(X15/X37)</f>
        <v>#DIV/0!</v>
      </c>
      <c r="Z15" s="67">
        <v>0</v>
      </c>
      <c r="AA15" s="17" t="e">
        <f>SUM(Z15/Z37)</f>
        <v>#DIV/0!</v>
      </c>
      <c r="AB15" s="67">
        <v>0</v>
      </c>
      <c r="AC15" s="17" t="e">
        <f>SUM(AB15/AB37)</f>
        <v>#DIV/0!</v>
      </c>
      <c r="AD15" s="16">
        <f t="shared" si="0"/>
        <v>5.713980535982818</v>
      </c>
      <c r="AE15" s="1"/>
      <c r="AF15" s="61"/>
    </row>
    <row r="16" spans="1:32" s="32" customFormat="1" ht="12.75">
      <c r="A16" s="12"/>
      <c r="B16" s="5"/>
      <c r="C16" s="15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2"/>
      <c r="Q16" s="5"/>
      <c r="R16" s="16"/>
      <c r="S16" s="17"/>
      <c r="T16" s="16"/>
      <c r="U16" s="17"/>
      <c r="V16" s="67">
        <v>0</v>
      </c>
      <c r="W16" s="17"/>
      <c r="X16" s="67">
        <v>0</v>
      </c>
      <c r="Y16" s="17"/>
      <c r="Z16" s="67">
        <v>0</v>
      </c>
      <c r="AA16" s="17"/>
      <c r="AB16" s="67">
        <v>0</v>
      </c>
      <c r="AC16" s="17"/>
      <c r="AD16" s="16"/>
      <c r="AE16" s="1"/>
      <c r="AF16" s="61"/>
    </row>
    <row r="17" spans="1:32" s="32" customFormat="1" ht="12.75">
      <c r="A17" s="12">
        <v>7</v>
      </c>
      <c r="B17" s="5" t="s">
        <v>4</v>
      </c>
      <c r="C17" s="15">
        <v>1400</v>
      </c>
      <c r="D17" s="16">
        <f>'[2]JAN-07'!$AE$81*'[1]JAN 07'!$AY16</f>
        <v>3.3915845132483406</v>
      </c>
      <c r="E17" s="17">
        <f>SUM(D17/D37)</f>
        <v>0.011701608971233544</v>
      </c>
      <c r="F17" s="16">
        <f>'[2]FEB-07'!$AD$93*'[1]FEB 07'!$AW16</f>
        <v>3.94570687364225</v>
      </c>
      <c r="G17" s="17">
        <f>SUM(F17/F37)</f>
        <v>0.014753686394993476</v>
      </c>
      <c r="H17" s="16">
        <f>'[2]MAR-07'!$AE$103*'[1]MARCH 07'!$AZ16</f>
        <v>4.3498514107381965</v>
      </c>
      <c r="I17" s="17">
        <f>SUM(H17/H37)</f>
        <v>0.014161519037080269</v>
      </c>
      <c r="J17" s="16">
        <f>'[2]APR-07'!$AD$98*'[1]APRIL 07'!$AX16</f>
        <v>4.376206795425029</v>
      </c>
      <c r="K17" s="17">
        <f>SUM(J17/J37)</f>
        <v>0.0162562291354202</v>
      </c>
      <c r="L17" s="16">
        <f>'[2]MAY-07'!$AF$98*'[1]MAY 07'!$AZ16</f>
        <v>3.5234116601668553</v>
      </c>
      <c r="M17" s="17">
        <f>SUM(L17/L37)</f>
        <v>0.00991108342300504</v>
      </c>
      <c r="N17" s="16">
        <f>'[2]JUN-07'!$AD$99*'[1]JUNE 07'!$AX16</f>
        <v>6.329464589342166</v>
      </c>
      <c r="O17" s="17">
        <f>SUM(N17/N37)</f>
        <v>0.018712100960929696</v>
      </c>
      <c r="P17" s="12">
        <v>7</v>
      </c>
      <c r="Q17" s="5" t="s">
        <v>4</v>
      </c>
      <c r="R17" s="16">
        <f>'[2]JUL-07'!$AE$98*'[1]JULY 07'!$AY16</f>
        <v>3.540719592512086</v>
      </c>
      <c r="S17" s="17">
        <f>SUM(R17/R37)</f>
        <v>0.010426363805622788</v>
      </c>
      <c r="T17" s="16">
        <f>'[2]AUG-07'!$AF$102*'[1]AUG 07'!$AY16</f>
        <v>6.579660567402046</v>
      </c>
      <c r="U17" s="17">
        <f>SUM(T17/T37)</f>
        <v>0.01971924706974981</v>
      </c>
      <c r="V17" s="67">
        <v>0</v>
      </c>
      <c r="W17" s="17" t="e">
        <f>SUM(V17/V37)</f>
        <v>#DIV/0!</v>
      </c>
      <c r="X17" s="67">
        <v>0</v>
      </c>
      <c r="Y17" s="17" t="e">
        <f>SUM(X17/X37)</f>
        <v>#DIV/0!</v>
      </c>
      <c r="Z17" s="67">
        <v>0</v>
      </c>
      <c r="AA17" s="17" t="e">
        <f>SUM(Z17/Z37)</f>
        <v>#DIV/0!</v>
      </c>
      <c r="AB17" s="67">
        <v>0</v>
      </c>
      <c r="AC17" s="17" t="e">
        <f>SUM(AB17/AB37)</f>
        <v>#DIV/0!</v>
      </c>
      <c r="AD17" s="16">
        <f t="shared" si="0"/>
        <v>36.036606002476965</v>
      </c>
      <c r="AE17" s="1"/>
      <c r="AF17" s="61"/>
    </row>
    <row r="18" spans="1:32" s="32" customFormat="1" ht="12.75">
      <c r="A18" s="12"/>
      <c r="B18" s="5"/>
      <c r="C18" s="15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2"/>
      <c r="Q18" s="5"/>
      <c r="R18" s="16"/>
      <c r="S18" s="17"/>
      <c r="T18" s="16"/>
      <c r="U18" s="17"/>
      <c r="V18" s="67">
        <v>0</v>
      </c>
      <c r="W18" s="17"/>
      <c r="X18" s="67">
        <v>0</v>
      </c>
      <c r="Y18" s="17"/>
      <c r="Z18" s="67">
        <v>0</v>
      </c>
      <c r="AA18" s="17"/>
      <c r="AB18" s="67">
        <v>0</v>
      </c>
      <c r="AC18" s="17"/>
      <c r="AD18" s="16"/>
      <c r="AE18" s="1"/>
      <c r="AF18" s="61"/>
    </row>
    <row r="19" spans="1:32" s="32" customFormat="1" ht="12.75">
      <c r="A19" s="12">
        <v>8</v>
      </c>
      <c r="B19" s="5" t="s">
        <v>5</v>
      </c>
      <c r="C19" s="15">
        <v>1860</v>
      </c>
      <c r="D19" s="16">
        <f>'[2]JAN-07'!$AE$81*'[1]JAN 07'!$AY18</f>
        <v>6.383446566006698</v>
      </c>
      <c r="E19" s="17">
        <f>SUM(D19/D37)</f>
        <v>0.022024099742285988</v>
      </c>
      <c r="F19" s="16">
        <f>'[2]FEB-07'!$AD$93*'[1]FEB 07'!$AW18</f>
        <v>7.258366270853983</v>
      </c>
      <c r="G19" s="17">
        <f>SUM(F19/F37)</f>
        <v>0.027140297829911068</v>
      </c>
      <c r="H19" s="16">
        <f>'[2]MAR-07'!$AE$103*'[1]MARCH 07'!$AZ18</f>
        <v>7.980126259429356</v>
      </c>
      <c r="I19" s="17">
        <f>SUM(H19/H37)</f>
        <v>0.025980360998591988</v>
      </c>
      <c r="J19" s="16">
        <f>'[2]APR-07'!$AD$98*'[1]APRIL 07'!$AX18</f>
        <v>4.360577485441366</v>
      </c>
      <c r="K19" s="17">
        <f>SUM(J19/J37)</f>
        <v>0.016198171174222262</v>
      </c>
      <c r="L19" s="16">
        <f>'[2]MAY-07'!$AF$98*'[1]MAY 07'!$AZ18</f>
        <v>7.957876906748283</v>
      </c>
      <c r="M19" s="17">
        <f>SUM(L19/L37)</f>
        <v>0.0223848898453871</v>
      </c>
      <c r="N19" s="16">
        <f>'[2]JUN-07'!$AD$99*'[1]JUNE 07'!$AX18</f>
        <v>6.196212703250752</v>
      </c>
      <c r="O19" s="17">
        <f>SUM(N19/N37)</f>
        <v>0.018318161993331177</v>
      </c>
      <c r="P19" s="12">
        <v>8</v>
      </c>
      <c r="Q19" s="5" t="s">
        <v>5</v>
      </c>
      <c r="R19" s="16">
        <f>'[2]JUL-07'!$AE$98*'[1]JULY 07'!$AY18</f>
        <v>6.585738442072479</v>
      </c>
      <c r="S19" s="17">
        <f>SUM(R19/R37)</f>
        <v>0.019393036678458386</v>
      </c>
      <c r="T19" s="16">
        <f>'[2]AUG-07'!$AF$102*'[1]AUG 07'!$AY18</f>
        <v>7.360602335516206</v>
      </c>
      <c r="U19" s="17">
        <f>SUM(T19/T37)</f>
        <v>0.022059730065001167</v>
      </c>
      <c r="V19" s="67">
        <v>0</v>
      </c>
      <c r="W19" s="17" t="e">
        <f>SUM(V19/V37)</f>
        <v>#DIV/0!</v>
      </c>
      <c r="X19" s="67">
        <v>0</v>
      </c>
      <c r="Y19" s="17" t="e">
        <f>SUM(X19/X37)</f>
        <v>#DIV/0!</v>
      </c>
      <c r="Z19" s="67">
        <v>0</v>
      </c>
      <c r="AA19" s="17" t="e">
        <f>SUM(Z19/Z37)</f>
        <v>#DIV/0!</v>
      </c>
      <c r="AB19" s="67">
        <v>0</v>
      </c>
      <c r="AC19" s="17" t="e">
        <f>SUM(AB19/AB37)</f>
        <v>#DIV/0!</v>
      </c>
      <c r="AD19" s="16">
        <f t="shared" si="0"/>
        <v>54.082946969319124</v>
      </c>
      <c r="AE19" s="1"/>
      <c r="AF19" s="61"/>
    </row>
    <row r="20" spans="1:32" s="32" customFormat="1" ht="12.75">
      <c r="A20" s="12"/>
      <c r="B20" s="5"/>
      <c r="C20" s="15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2"/>
      <c r="Q20" s="5"/>
      <c r="R20" s="16"/>
      <c r="S20" s="17"/>
      <c r="T20" s="16"/>
      <c r="U20" s="17"/>
      <c r="V20" s="67">
        <v>0</v>
      </c>
      <c r="W20" s="17"/>
      <c r="X20" s="67">
        <v>0</v>
      </c>
      <c r="Y20" s="17"/>
      <c r="Z20" s="67">
        <v>0</v>
      </c>
      <c r="AA20" s="17"/>
      <c r="AB20" s="67">
        <v>0</v>
      </c>
      <c r="AC20" s="17"/>
      <c r="AD20" s="16"/>
      <c r="AE20" s="1"/>
      <c r="AF20" s="61"/>
    </row>
    <row r="21" spans="1:32" s="32" customFormat="1" ht="12.75">
      <c r="A21" s="12">
        <v>9</v>
      </c>
      <c r="B21" s="5" t="s">
        <v>6</v>
      </c>
      <c r="C21" s="15">
        <v>940</v>
      </c>
      <c r="D21" s="16">
        <f>'[2]JAN-07'!$AE$81*'[1]JAN 07'!$AY20</f>
        <v>2.466973973327067</v>
      </c>
      <c r="E21" s="17">
        <f>SUM(D21/D37)</f>
        <v>0.00851152747788535</v>
      </c>
      <c r="F21" s="16">
        <f>'[2]FEB-07'!$AD$93*'[1]FEB 07'!$AW20</f>
        <v>2.4454710733343172</v>
      </c>
      <c r="G21" s="17">
        <f>SUM(F21/F37)</f>
        <v>0.009144042996457494</v>
      </c>
      <c r="H21" s="16">
        <f>'[2]MAR-07'!$AE$103*'[1]MARCH 07'!$AZ20</f>
        <v>2.3649146249887116</v>
      </c>
      <c r="I21" s="17">
        <f>SUM(H21/H37)</f>
        <v>0.007699293681657874</v>
      </c>
      <c r="J21" s="16">
        <f>'[2]APR-07'!$AD$98*'[1]APRIL 07'!$AX20</f>
        <v>1.714014328208136</v>
      </c>
      <c r="K21" s="17">
        <f>SUM(J21/J37)</f>
        <v>0.006367023078039577</v>
      </c>
      <c r="L21" s="16">
        <f>'[2]MAY-07'!$AF$98*'[1]MAY 07'!$AZ20</f>
        <v>1.8925754060324822</v>
      </c>
      <c r="M21" s="17">
        <f>SUM(L21/L37)</f>
        <v>0.005323667667214136</v>
      </c>
      <c r="N21" s="16">
        <f>'[2]JUN-07'!$AD$99*'[1]JUNE 07'!$AX20</f>
        <v>4.026110558333438</v>
      </c>
      <c r="O21" s="17">
        <f>SUM(N21/N37)</f>
        <v>0.011902584521012425</v>
      </c>
      <c r="P21" s="12">
        <v>9</v>
      </c>
      <c r="Q21" s="5" t="s">
        <v>6</v>
      </c>
      <c r="R21" s="16">
        <f>'[2]JUL-07'!$AE$98*'[1]JULY 07'!$AY20</f>
        <v>3.8037444765272688</v>
      </c>
      <c r="S21" s="17">
        <f>SUM(R21/R37)</f>
        <v>0.011200893688326195</v>
      </c>
      <c r="T21" s="16">
        <f>'[2]AUG-07'!$AF$102*'[1]AUG 07'!$AY20</f>
        <v>3.0227901735811034</v>
      </c>
      <c r="U21" s="17">
        <f>SUM(T21/T37)</f>
        <v>0.009059304148328331</v>
      </c>
      <c r="V21" s="67">
        <v>0</v>
      </c>
      <c r="W21" s="17" t="e">
        <f>SUM(V21/V37)</f>
        <v>#DIV/0!</v>
      </c>
      <c r="X21" s="67">
        <v>0</v>
      </c>
      <c r="Y21" s="17" t="e">
        <f>SUM(X21/X37)</f>
        <v>#DIV/0!</v>
      </c>
      <c r="Z21" s="67">
        <v>0</v>
      </c>
      <c r="AA21" s="17" t="e">
        <f>SUM(Z21/Z37)</f>
        <v>#DIV/0!</v>
      </c>
      <c r="AB21" s="67">
        <v>0</v>
      </c>
      <c r="AC21" s="17" t="e">
        <f>SUM(AB21/AB37)</f>
        <v>#DIV/0!</v>
      </c>
      <c r="AD21" s="16">
        <f t="shared" si="0"/>
        <v>21.736594614332525</v>
      </c>
      <c r="AE21" s="1"/>
      <c r="AF21" s="61"/>
    </row>
    <row r="22" spans="1:32" s="32" customFormat="1" ht="12.75">
      <c r="A22" s="12"/>
      <c r="B22" s="5"/>
      <c r="C22" s="15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2"/>
      <c r="Q22" s="5"/>
      <c r="R22" s="16"/>
      <c r="S22" s="17"/>
      <c r="T22" s="16"/>
      <c r="U22" s="17"/>
      <c r="V22" s="67">
        <v>0</v>
      </c>
      <c r="W22" s="17"/>
      <c r="X22" s="67">
        <v>0</v>
      </c>
      <c r="Y22" s="17"/>
      <c r="Z22" s="67">
        <v>0</v>
      </c>
      <c r="AA22" s="17"/>
      <c r="AB22" s="67">
        <v>0</v>
      </c>
      <c r="AC22" s="17"/>
      <c r="AD22" s="16"/>
      <c r="AE22" s="1"/>
      <c r="AF22" s="61"/>
    </row>
    <row r="23" spans="1:32" s="32" customFormat="1" ht="12.75">
      <c r="A23" s="12">
        <v>10</v>
      </c>
      <c r="B23" s="5" t="s">
        <v>7</v>
      </c>
      <c r="C23" s="15">
        <v>1060</v>
      </c>
      <c r="D23" s="16">
        <f>'[2]JAN-07'!$AE$81*'[1]JAN 07'!$AY22</f>
        <v>6.419784971505788</v>
      </c>
      <c r="E23" s="17">
        <f>SUM(D23/D37)</f>
        <v>0.022149474124120636</v>
      </c>
      <c r="F23" s="16">
        <f>'[2]FEB-07'!$AD$93*'[1]FEB 07'!$AW22</f>
        <v>5.745122645687892</v>
      </c>
      <c r="G23" s="17">
        <f>SUM(F23/F37)</f>
        <v>0.021482015904798195</v>
      </c>
      <c r="H23" s="16">
        <f>'[2]MAR-07'!$AE$103*'[1]MARCH 07'!$AZ22</f>
        <v>6.7449394414119235</v>
      </c>
      <c r="I23" s="17">
        <f>SUM(H23/H37)</f>
        <v>0.021959046248731153</v>
      </c>
      <c r="J23" s="16">
        <f>'[2]APR-07'!$AD$98*'[1]APRIL 07'!$AX22</f>
        <v>6.074591813649503</v>
      </c>
      <c r="K23" s="17">
        <f>SUM(J23/J37)</f>
        <v>0.022565194252261844</v>
      </c>
      <c r="L23" s="16">
        <f>'[2]MAY-07'!$AF$98*'[1]MAY 07'!$AZ22</f>
        <v>9.070268302315247</v>
      </c>
      <c r="M23" s="17">
        <f>SUM(L23/L37)</f>
        <v>0.02551396046893583</v>
      </c>
      <c r="N23" s="16">
        <f>'[2]JUN-07'!$AD$99*'[1]JUNE 07'!$AX22</f>
        <v>8.071257100394222</v>
      </c>
      <c r="O23" s="17">
        <f>SUM(N23/N37)</f>
        <v>0.023861446037396067</v>
      </c>
      <c r="P23" s="12">
        <v>10</v>
      </c>
      <c r="Q23" s="5" t="s">
        <v>7</v>
      </c>
      <c r="R23" s="16">
        <f>'[2]JUL-07'!$AE$98*'[1]JULY 07'!$AY22</f>
        <v>10.187156084741915</v>
      </c>
      <c r="S23" s="17">
        <f>SUM(R23/R37)</f>
        <v>0.02999813814932042</v>
      </c>
      <c r="T23" s="16">
        <f>'[2]AUG-07'!$AF$102*'[1]AUG 07'!$AY22</f>
        <v>8.914208184793182</v>
      </c>
      <c r="U23" s="17">
        <f>SUM(T23/T37)</f>
        <v>0.02671588782223904</v>
      </c>
      <c r="V23" s="67">
        <v>0</v>
      </c>
      <c r="W23" s="17" t="e">
        <f>SUM(V23/V37)</f>
        <v>#DIV/0!</v>
      </c>
      <c r="X23" s="67">
        <v>0</v>
      </c>
      <c r="Y23" s="17" t="e">
        <f>SUM(X23/X37)</f>
        <v>#DIV/0!</v>
      </c>
      <c r="Z23" s="67">
        <v>0</v>
      </c>
      <c r="AA23" s="17" t="e">
        <f>SUM(Z23/Z37)</f>
        <v>#DIV/0!</v>
      </c>
      <c r="AB23" s="67">
        <v>0</v>
      </c>
      <c r="AC23" s="17" t="e">
        <f>SUM(AB23/AB37)</f>
        <v>#DIV/0!</v>
      </c>
      <c r="AD23" s="16">
        <f t="shared" si="0"/>
        <v>61.22732854449967</v>
      </c>
      <c r="AE23" s="1"/>
      <c r="AF23" s="61"/>
    </row>
    <row r="24" spans="1:32" s="32" customFormat="1" ht="12.75">
      <c r="A24" s="12"/>
      <c r="B24" s="5"/>
      <c r="C24" s="15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2"/>
      <c r="Q24" s="5"/>
      <c r="R24" s="16"/>
      <c r="S24" s="17"/>
      <c r="T24" s="16"/>
      <c r="U24" s="17"/>
      <c r="V24" s="67">
        <v>0</v>
      </c>
      <c r="W24" s="17"/>
      <c r="X24" s="67">
        <v>0</v>
      </c>
      <c r="Y24" s="17"/>
      <c r="Z24" s="67">
        <v>0</v>
      </c>
      <c r="AA24" s="17"/>
      <c r="AB24" s="67">
        <v>0</v>
      </c>
      <c r="AC24" s="17"/>
      <c r="AD24" s="16"/>
      <c r="AE24" s="1"/>
      <c r="AF24" s="61"/>
    </row>
    <row r="25" spans="1:32" s="32" customFormat="1" ht="12.75">
      <c r="A25" s="12">
        <v>11</v>
      </c>
      <c r="B25" s="5" t="s">
        <v>8</v>
      </c>
      <c r="C25" s="15">
        <v>1300</v>
      </c>
      <c r="D25" s="16">
        <f>'[2]JAN-07'!$AE$81*'[1]JAN 07'!$AY24</f>
        <v>4.461548675165972</v>
      </c>
      <c r="E25" s="17">
        <f>SUM(D25/D37)</f>
        <v>0.015393187991920314</v>
      </c>
      <c r="F25" s="16">
        <f>'[2]FEB-07'!$AD$93*'[1]FEB 07'!$AW24</f>
        <v>3.94570687364225</v>
      </c>
      <c r="G25" s="17">
        <f>SUM(F25/F37)</f>
        <v>0.014753686394993476</v>
      </c>
      <c r="H25" s="16">
        <f>'[2]MAR-07'!$AE$103*'[1]MARCH 07'!$AZ24</f>
        <v>3.2701167955391477</v>
      </c>
      <c r="I25" s="17">
        <f>SUM(H25/H37)</f>
        <v>0.010646299581448119</v>
      </c>
      <c r="J25" s="16">
        <f>'[2]APR-07'!$AD$98*'[1]APRIL 07'!$AX24</f>
        <v>4.402255645397796</v>
      </c>
      <c r="K25" s="17">
        <f>SUM(J25/J37)</f>
        <v>0.016352992404083413</v>
      </c>
      <c r="L25" s="16">
        <f>'[2]MAY-07'!$AF$98*'[1]MAY 07'!$AZ24</f>
        <v>5.5619569778348215</v>
      </c>
      <c r="M25" s="17">
        <f>SUM(L25/L37)</f>
        <v>0.01564535311774367</v>
      </c>
      <c r="N25" s="16">
        <f>'[2]JUN-07'!$AD$99*'[1]JUNE 07'!$AX24</f>
        <v>3.7120168268322473</v>
      </c>
      <c r="O25" s="17">
        <f>SUM(N25/N37)</f>
        <v>0.01097401409738734</v>
      </c>
      <c r="P25" s="12">
        <v>11</v>
      </c>
      <c r="Q25" s="5" t="s">
        <v>8</v>
      </c>
      <c r="R25" s="16">
        <f>'[2]JUL-07'!$AE$98*'[1]JULY 07'!$AY24</f>
        <v>3.9453732602277527</v>
      </c>
      <c r="S25" s="17">
        <f>SUM(R25/R37)</f>
        <v>0.011617948240551108</v>
      </c>
      <c r="T25" s="16">
        <f>'[2]AUG-07'!$AF$102*'[1]AUG 07'!$AY24</f>
        <v>5.4661793580596925</v>
      </c>
      <c r="U25" s="17">
        <f>SUM(T25/T37)</f>
        <v>0.016382143149324426</v>
      </c>
      <c r="V25" s="67">
        <v>0</v>
      </c>
      <c r="W25" s="17" t="e">
        <f>SUM(V25/V37)</f>
        <v>#DIV/0!</v>
      </c>
      <c r="X25" s="67">
        <v>0</v>
      </c>
      <c r="Y25" s="17" t="e">
        <f>SUM(X25/X37)</f>
        <v>#DIV/0!</v>
      </c>
      <c r="Z25" s="67">
        <v>0</v>
      </c>
      <c r="AA25" s="17" t="e">
        <f>SUM(Z25/Z37)</f>
        <v>#DIV/0!</v>
      </c>
      <c r="AB25" s="67">
        <v>0</v>
      </c>
      <c r="AC25" s="17" t="e">
        <f>SUM(AB25/AB37)</f>
        <v>#DIV/0!</v>
      </c>
      <c r="AD25" s="16">
        <f t="shared" si="0"/>
        <v>34.76515441269968</v>
      </c>
      <c r="AE25" s="1"/>
      <c r="AF25" s="61"/>
    </row>
    <row r="26" spans="1:32" s="32" customFormat="1" ht="12.75">
      <c r="A26" s="12"/>
      <c r="B26" s="5"/>
      <c r="C26" s="15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2"/>
      <c r="Q26" s="5"/>
      <c r="R26" s="16"/>
      <c r="S26" s="17"/>
      <c r="T26" s="16"/>
      <c r="U26" s="17"/>
      <c r="V26" s="67">
        <v>0</v>
      </c>
      <c r="W26" s="17"/>
      <c r="X26" s="67">
        <v>0</v>
      </c>
      <c r="Y26" s="17"/>
      <c r="Z26" s="67">
        <v>0</v>
      </c>
      <c r="AA26" s="17"/>
      <c r="AB26" s="67">
        <v>0</v>
      </c>
      <c r="AC26" s="17"/>
      <c r="AD26" s="16"/>
      <c r="AE26" s="1"/>
      <c r="AF26" s="61"/>
    </row>
    <row r="27" spans="1:32" s="32" customFormat="1" ht="12.75">
      <c r="A27" s="12">
        <v>12</v>
      </c>
      <c r="B27" s="5" t="s">
        <v>9</v>
      </c>
      <c r="C27" s="15">
        <v>1300</v>
      </c>
      <c r="D27" s="16">
        <f>'[2]JAN-07'!$AE$81*'[1]JAN 07'!$AY26</f>
        <v>2.624440397156454</v>
      </c>
      <c r="E27" s="17">
        <f>SUM(D27/D37)</f>
        <v>0.00905481646583548</v>
      </c>
      <c r="F27" s="16">
        <f>'[2]FEB-07'!$AD$93*'[1]FEB 07'!$AW26</f>
        <v>1.4091810263008033</v>
      </c>
      <c r="G27" s="17">
        <f>SUM(F27/F37)</f>
        <v>0.005269173712497669</v>
      </c>
      <c r="H27" s="16">
        <f>'[2]MAR-07'!$AE$103*'[1]MARCH 07'!$AZ26</f>
        <v>1.538991598787138</v>
      </c>
      <c r="I27" s="17">
        <f>SUM(H27/H37)</f>
        <v>0.005010391566555144</v>
      </c>
      <c r="J27" s="16">
        <f>'[2]APR-07'!$AD$98*'[1]APRIL 07'!$AX26</f>
        <v>2.7090803971678747</v>
      </c>
      <c r="K27" s="17">
        <f>SUM(J27/J37)</f>
        <v>0.010063379940974409</v>
      </c>
      <c r="L27" s="16">
        <f>'[2]MAY-07'!$AF$98*'[1]MAY 07'!$AZ26</f>
        <v>2.617391518981093</v>
      </c>
      <c r="M27" s="17">
        <f>SUM(L27/L37)</f>
        <v>0.007362519114232317</v>
      </c>
      <c r="N27" s="16">
        <f>'[2]JUN-07'!$AD$99*'[1]JUNE 07'!$AX26</f>
        <v>1.8560084134161237</v>
      </c>
      <c r="O27" s="17">
        <f>SUM(N27/N37)</f>
        <v>0.00548700704869367</v>
      </c>
      <c r="P27" s="12">
        <v>12</v>
      </c>
      <c r="Q27" s="5" t="s">
        <v>9</v>
      </c>
      <c r="R27" s="16">
        <f>'[2]JUL-07'!$AE$98*'[1]JULY 07'!$AY26</f>
        <v>2.959029945170814</v>
      </c>
      <c r="S27" s="17">
        <f>SUM(R27/R37)</f>
        <v>0.008713461180413329</v>
      </c>
      <c r="T27" s="16">
        <f>'[2]AUG-07'!$AF$102*'[1]AUG 07'!$AY26</f>
        <v>2.2509026665750604</v>
      </c>
      <c r="U27" s="17">
        <f>SUM(T27/T37)</f>
        <v>0.0067459567796029915</v>
      </c>
      <c r="V27" s="67">
        <v>0</v>
      </c>
      <c r="W27" s="17" t="e">
        <f>SUM(V27/V37)</f>
        <v>#DIV/0!</v>
      </c>
      <c r="X27" s="67">
        <v>0</v>
      </c>
      <c r="Y27" s="17" t="e">
        <f>SUM(X27/X37)</f>
        <v>#DIV/0!</v>
      </c>
      <c r="Z27" s="67">
        <v>0</v>
      </c>
      <c r="AA27" s="17" t="e">
        <f>SUM(Z27/Z37)</f>
        <v>#DIV/0!</v>
      </c>
      <c r="AB27" s="67">
        <v>0</v>
      </c>
      <c r="AC27" s="17" t="e">
        <f>SUM(AB27/AB37)</f>
        <v>#DIV/0!</v>
      </c>
      <c r="AD27" s="16">
        <f t="shared" si="0"/>
        <v>17.965025963555362</v>
      </c>
      <c r="AE27" s="1"/>
      <c r="AF27" s="61"/>
    </row>
    <row r="28" spans="1:32" s="32" customFormat="1" ht="12.75">
      <c r="A28" s="12"/>
      <c r="B28" s="5"/>
      <c r="C28" s="15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2"/>
      <c r="Q28" s="5"/>
      <c r="R28" s="16"/>
      <c r="S28" s="17"/>
      <c r="T28" s="16"/>
      <c r="U28" s="17"/>
      <c r="V28" s="67">
        <v>0</v>
      </c>
      <c r="W28" s="17"/>
      <c r="X28" s="67">
        <v>0</v>
      </c>
      <c r="Y28" s="17"/>
      <c r="Z28" s="67">
        <v>0</v>
      </c>
      <c r="AA28" s="17"/>
      <c r="AB28" s="67">
        <v>0</v>
      </c>
      <c r="AC28" s="17"/>
      <c r="AD28" s="16"/>
      <c r="AE28" s="1"/>
      <c r="AF28" s="61"/>
    </row>
    <row r="29" spans="1:32" s="32" customFormat="1" ht="12.75">
      <c r="A29" s="12">
        <v>13</v>
      </c>
      <c r="B29" s="5" t="s">
        <v>10</v>
      </c>
      <c r="C29" s="15">
        <v>1660</v>
      </c>
      <c r="D29" s="16">
        <f>'[2]JAN-07'!$AE$81*'[1]JAN 07'!$AY28</f>
        <v>0</v>
      </c>
      <c r="E29" s="17">
        <f>SUM(D29/D37)</f>
        <v>0</v>
      </c>
      <c r="F29" s="16">
        <f>'[2]FEB-07'!$AD$93*'[1]FEB 07'!$AW28</f>
        <v>0</v>
      </c>
      <c r="G29" s="17">
        <f>SUM(F29/F37)</f>
        <v>0</v>
      </c>
      <c r="H29" s="16">
        <f>'[2]MAR-07'!$AE$103*'[1]MARCH 07'!$AZ28</f>
        <v>0</v>
      </c>
      <c r="I29" s="17">
        <f>SUM(H29/H37)</f>
        <v>0</v>
      </c>
      <c r="J29" s="16">
        <f>'[2]APR-07'!$AD$98*'[1]APRIL 07'!$AX28</f>
        <v>0</v>
      </c>
      <c r="K29" s="17">
        <f>SUM(J29/J37)</f>
        <v>0</v>
      </c>
      <c r="L29" s="16">
        <f>'[2]MAY-07'!$AF$98*'[1]MAY 07'!$AZ28</f>
        <v>0</v>
      </c>
      <c r="M29" s="17">
        <f>SUM(L29/L37)</f>
        <v>0</v>
      </c>
      <c r="N29" s="16">
        <f>'[2]JUN-07'!$AD$99*'[1]JUNE 07'!$AX28</f>
        <v>1.5799866493696233</v>
      </c>
      <c r="O29" s="17">
        <f>SUM(N29/N37)</f>
        <v>0.004670990615811022</v>
      </c>
      <c r="P29" s="12">
        <v>13</v>
      </c>
      <c r="Q29" s="5" t="s">
        <v>10</v>
      </c>
      <c r="R29" s="16">
        <f>'[2]JUL-07'!$AE$98*'[1]JULY 07'!$AY28</f>
        <v>5.457766343315058</v>
      </c>
      <c r="S29" s="17">
        <f>SUM(R29/R37)</f>
        <v>0.016071495066095697</v>
      </c>
      <c r="T29" s="16">
        <f>'[2]AUG-07'!$AF$102*'[1]AUG 07'!$AY28</f>
        <v>4.5164118521625625</v>
      </c>
      <c r="U29" s="17">
        <f>SUM(T29/T37)</f>
        <v>0.01353568930634138</v>
      </c>
      <c r="V29" s="67">
        <v>0</v>
      </c>
      <c r="W29" s="17" t="e">
        <f>SUM(V29/V37)</f>
        <v>#DIV/0!</v>
      </c>
      <c r="X29" s="67">
        <v>0</v>
      </c>
      <c r="Y29" s="17" t="e">
        <f>SUM(X29/X37)</f>
        <v>#DIV/0!</v>
      </c>
      <c r="Z29" s="67">
        <v>0</v>
      </c>
      <c r="AA29" s="17" t="e">
        <f>SUM(Z29/Z37)</f>
        <v>#DIV/0!</v>
      </c>
      <c r="AB29" s="67">
        <v>0</v>
      </c>
      <c r="AC29" s="17" t="e">
        <f>SUM(AB29/AB37)</f>
        <v>#DIV/0!</v>
      </c>
      <c r="AD29" s="16">
        <f t="shared" si="0"/>
        <v>11.554164844847243</v>
      </c>
      <c r="AE29" s="1"/>
      <c r="AF29" s="61"/>
    </row>
    <row r="30" spans="1:32" s="32" customFormat="1" ht="12.75">
      <c r="A30" s="12"/>
      <c r="B30" s="5"/>
      <c r="C30" s="15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2"/>
      <c r="Q30" s="5"/>
      <c r="R30" s="16"/>
      <c r="S30" s="17"/>
      <c r="T30" s="16"/>
      <c r="U30" s="17"/>
      <c r="V30" s="67">
        <v>0</v>
      </c>
      <c r="W30" s="17"/>
      <c r="X30" s="67">
        <v>0</v>
      </c>
      <c r="Y30" s="17"/>
      <c r="Z30" s="67">
        <v>0</v>
      </c>
      <c r="AA30" s="17"/>
      <c r="AB30" s="67">
        <v>0</v>
      </c>
      <c r="AC30" s="17"/>
      <c r="AD30" s="16"/>
      <c r="AE30" s="1"/>
      <c r="AF30" s="61"/>
    </row>
    <row r="31" spans="1:32" s="32" customFormat="1" ht="12.75">
      <c r="A31" s="12">
        <v>14</v>
      </c>
      <c r="B31" s="5" t="s">
        <v>11</v>
      </c>
      <c r="C31" s="15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2">
        <v>14</v>
      </c>
      <c r="Q31" s="5" t="s">
        <v>11</v>
      </c>
      <c r="R31" s="16"/>
      <c r="S31" s="17"/>
      <c r="T31" s="16"/>
      <c r="U31" s="17"/>
      <c r="V31" s="67">
        <v>0</v>
      </c>
      <c r="W31" s="17"/>
      <c r="X31" s="67">
        <v>0</v>
      </c>
      <c r="Y31" s="17"/>
      <c r="Z31" s="67">
        <v>0</v>
      </c>
      <c r="AA31" s="17"/>
      <c r="AB31" s="67">
        <v>0</v>
      </c>
      <c r="AC31" s="17"/>
      <c r="AD31" s="16"/>
      <c r="AE31" s="1"/>
      <c r="AF31" s="61"/>
    </row>
    <row r="32" spans="1:32" s="32" customFormat="1" ht="12.75">
      <c r="A32" s="12"/>
      <c r="B32" s="5" t="s">
        <v>26</v>
      </c>
      <c r="C32" s="15">
        <v>925</v>
      </c>
      <c r="D32" s="16">
        <f>'[2]JAN-07'!$AE$81*'[1]JAN 07'!$AY31</f>
        <v>69.14391046354504</v>
      </c>
      <c r="E32" s="17">
        <f>SUM(D32/D37)</f>
        <v>0.2385595876575886</v>
      </c>
      <c r="F32" s="16">
        <f>'[2]FEB-07'!$AD$93*'[1]FEB 07'!$AW31</f>
        <v>58.535211861725685</v>
      </c>
      <c r="G32" s="17">
        <f>SUM(F32/F37)</f>
        <v>0.21887336959605705</v>
      </c>
      <c r="H32" s="16">
        <f>'[2]MAR-07'!$AE$103*'[1]MARCH 07'!$AZ31</f>
        <v>73.5990007286577</v>
      </c>
      <c r="I32" s="17">
        <f>SUM(H32/H37)</f>
        <v>0.23961132266632768</v>
      </c>
      <c r="J32" s="16">
        <f>'[2]APR-07'!$AD$98*'[1]APRIL 07'!$AX31</f>
        <v>59.91235493736646</v>
      </c>
      <c r="K32" s="17">
        <f>SUM(J32/J37)</f>
        <v>0.22255551792539557</v>
      </c>
      <c r="L32" s="16">
        <f>'[2]MAY-07'!$AF$98*'[1]MAY 07'!$AZ31</f>
        <v>84.93938823616527</v>
      </c>
      <c r="M32" s="17">
        <f>SUM(L32/L37)</f>
        <v>0.23892790394744295</v>
      </c>
      <c r="N32" s="16">
        <f>'[2]JUN-07'!$AD$99*'[1]JUNE 07'!$AX31</f>
        <v>76.73880940085897</v>
      </c>
      <c r="O32" s="17">
        <f>SUM(N32/N37)</f>
        <v>0.22686663759021908</v>
      </c>
      <c r="P32" s="12"/>
      <c r="Q32" s="5" t="s">
        <v>26</v>
      </c>
      <c r="R32" s="16">
        <f>'[2]JUL-07'!$AE$98*'[1]JULY 07'!$AY31</f>
        <v>74.6080199850761</v>
      </c>
      <c r="S32" s="17">
        <f>SUM(R32/R37)</f>
        <v>0.21969838018990878</v>
      </c>
      <c r="T32" s="16">
        <f>'[2]AUG-07'!$AF$102*'[1]AUG 07'!$AY31</f>
        <v>72.34690975976356</v>
      </c>
      <c r="U32" s="17">
        <f>SUM(T32/T37)</f>
        <v>0.21682373637231103</v>
      </c>
      <c r="V32" s="67">
        <v>0</v>
      </c>
      <c r="W32" s="17" t="e">
        <f>SUM(V32/V37)</f>
        <v>#DIV/0!</v>
      </c>
      <c r="X32" s="67">
        <v>0</v>
      </c>
      <c r="Y32" s="17" t="e">
        <f>SUM(X32/X37)</f>
        <v>#DIV/0!</v>
      </c>
      <c r="Z32" s="67">
        <v>0</v>
      </c>
      <c r="AA32" s="17" t="e">
        <f>SUM(Z32/Z37)</f>
        <v>#DIV/0!</v>
      </c>
      <c r="AB32" s="67">
        <v>0</v>
      </c>
      <c r="AC32" s="17" t="e">
        <f>SUM(AB32/AB37)</f>
        <v>#DIV/0!</v>
      </c>
      <c r="AD32" s="16">
        <f t="shared" si="0"/>
        <v>569.8236053731588</v>
      </c>
      <c r="AE32" s="1"/>
      <c r="AF32" s="61"/>
    </row>
    <row r="33" spans="1:32" s="32" customFormat="1" ht="12.75">
      <c r="A33" s="12"/>
      <c r="B33" s="5" t="s">
        <v>27</v>
      </c>
      <c r="C33" s="15">
        <v>925</v>
      </c>
      <c r="D33" s="16">
        <f>'[2]JAN-07'!$AE$81*'[1]JAN 07'!$AY32</f>
        <v>26.24440397156454</v>
      </c>
      <c r="E33" s="17">
        <f>SUM(D33/D37)</f>
        <v>0.0905481646583548</v>
      </c>
      <c r="F33" s="16">
        <f>'[2]FEB-07'!$AD$93*'[1]FEB 07'!$AW32</f>
        <v>22.221700799358825</v>
      </c>
      <c r="G33" s="17">
        <f>SUM(F33/F37)</f>
        <v>0.08309081623554018</v>
      </c>
      <c r="H33" s="16">
        <f>'[2]MAR-07'!$AE$103*'[1]MARCH 07'!$AZ32</f>
        <v>29.587390815779095</v>
      </c>
      <c r="I33" s="17">
        <f>SUM(H33/H37)</f>
        <v>0.09632568074873213</v>
      </c>
      <c r="J33" s="16">
        <f>'[2]APR-07'!$AD$98*'[1]APRIL 07'!$AX32</f>
        <v>24.746407474129626</v>
      </c>
      <c r="K33" s="17">
        <f>SUM(J33/J37)</f>
        <v>0.09192510523005469</v>
      </c>
      <c r="L33" s="16">
        <f>'[2]MAY-07'!$AF$98*'[1]MAY 07'!$AZ32</f>
        <v>30.829852026459985</v>
      </c>
      <c r="M33" s="17">
        <f>SUM(L33/L37)</f>
        <v>0.0867219799512941</v>
      </c>
      <c r="N33" s="16">
        <f>'[2]JUN-07'!$AD$99*'[1]JUNE 07'!$AX32</f>
        <v>25.579603133619653</v>
      </c>
      <c r="O33" s="17">
        <f>SUM(N33/N37)</f>
        <v>0.07562221253007301</v>
      </c>
      <c r="P33" s="12"/>
      <c r="Q33" s="5" t="s">
        <v>27</v>
      </c>
      <c r="R33" s="16">
        <f>'[2]JUL-07'!$AE$98*'[1]JULY 07'!$AY32</f>
        <v>28.452211011257834</v>
      </c>
      <c r="S33" s="17">
        <f>SUM(R33/R37)</f>
        <v>0.08378328058089742</v>
      </c>
      <c r="T33" s="16">
        <f>'[2]AUG-07'!$AF$102*'[1]AUG 07'!$AY32</f>
        <v>29.0624840382768</v>
      </c>
      <c r="U33" s="17">
        <f>SUM(T33/T37)</f>
        <v>0.08710028387341613</v>
      </c>
      <c r="V33" s="67">
        <v>0</v>
      </c>
      <c r="W33" s="17" t="e">
        <f>SUM(V33/V37)</f>
        <v>#DIV/0!</v>
      </c>
      <c r="X33" s="67">
        <v>0</v>
      </c>
      <c r="Y33" s="17" t="e">
        <f>SUM(X33/X37)</f>
        <v>#DIV/0!</v>
      </c>
      <c r="Z33" s="67">
        <v>0</v>
      </c>
      <c r="AA33" s="17" t="e">
        <f>SUM(Z33/Z37)</f>
        <v>#DIV/0!</v>
      </c>
      <c r="AB33" s="67">
        <v>0</v>
      </c>
      <c r="AC33" s="17" t="e">
        <f>SUM(AB33/AB37)</f>
        <v>#DIV/0!</v>
      </c>
      <c r="AD33" s="16">
        <f t="shared" si="0"/>
        <v>216.72405327044638</v>
      </c>
      <c r="AE33" s="1"/>
      <c r="AF33" s="61"/>
    </row>
    <row r="34" spans="1:32" s="32" customFormat="1" ht="12.75">
      <c r="A34" s="12"/>
      <c r="B34" s="5"/>
      <c r="C34" s="15"/>
      <c r="D34" s="16"/>
      <c r="E34" s="17"/>
      <c r="F34" s="16"/>
      <c r="G34" s="17"/>
      <c r="H34" s="16"/>
      <c r="I34" s="17" t="s">
        <v>0</v>
      </c>
      <c r="J34" s="16"/>
      <c r="K34" s="17"/>
      <c r="L34" s="16"/>
      <c r="M34" s="17"/>
      <c r="N34" s="16"/>
      <c r="O34" s="17"/>
      <c r="P34" s="12"/>
      <c r="Q34" s="5"/>
      <c r="R34" s="16"/>
      <c r="S34" s="17"/>
      <c r="T34" s="16"/>
      <c r="U34" s="17"/>
      <c r="V34" s="67">
        <v>0</v>
      </c>
      <c r="W34" s="17"/>
      <c r="X34" s="67">
        <v>0</v>
      </c>
      <c r="Y34" s="17"/>
      <c r="Z34" s="67">
        <v>0</v>
      </c>
      <c r="AA34" s="17"/>
      <c r="AB34" s="67">
        <v>0</v>
      </c>
      <c r="AC34" s="17"/>
      <c r="AD34" s="16"/>
      <c r="AE34" s="1"/>
      <c r="AF34" s="61"/>
    </row>
    <row r="35" spans="1:32" s="32" customFormat="1" ht="12.75">
      <c r="A35" s="12">
        <v>15</v>
      </c>
      <c r="B35" s="5" t="s">
        <v>28</v>
      </c>
      <c r="C35" s="15">
        <v>750</v>
      </c>
      <c r="D35" s="16">
        <f>'[2]JAN-07'!$AE$81*'[1]JAN 07'!$AY35</f>
        <v>0</v>
      </c>
      <c r="E35" s="17">
        <f>SUM(D35/D37)</f>
        <v>0</v>
      </c>
      <c r="F35" s="16">
        <f>'[2]FEB-07'!$AD$93*'[1]FEB 07'!$AW$35</f>
        <v>3.4145540252673316</v>
      </c>
      <c r="G35" s="17">
        <f>SUM(F35/F37)</f>
        <v>0.012767613226436662</v>
      </c>
      <c r="H35" s="16">
        <f>'[2]MAR-07'!$AE$103*'[1]MARCH 07'!$AZ34</f>
        <v>3.4408036100514354</v>
      </c>
      <c r="I35" s="17">
        <f>SUM(H35/H37)</f>
        <v>0.011201993177585036</v>
      </c>
      <c r="J35" s="16">
        <f>'[2]APR-07'!$AD$98*'[1]APRIL 07'!$AX34</f>
        <v>2.539762872344882</v>
      </c>
      <c r="K35" s="17">
        <f>SUM(J35/J37)</f>
        <v>0.009434418694663506</v>
      </c>
      <c r="L35" s="16">
        <f>'[2]MAY-07'!$AF$98*'[1]MAY 07'!$AZ34</f>
        <v>3.775083921607345</v>
      </c>
      <c r="M35" s="17">
        <f>SUM(L35/L37)</f>
        <v>0.010619017953219687</v>
      </c>
      <c r="N35" s="16">
        <f>'[2]JUN-07'!$AD$99*'[1]JUNE 07'!$AX34</f>
        <v>6.067719813091173</v>
      </c>
      <c r="O35" s="17">
        <f>SUM(N35/N37)</f>
        <v>0.017938292274575458</v>
      </c>
      <c r="P35" s="12">
        <v>15</v>
      </c>
      <c r="Q35" s="5" t="s">
        <v>28</v>
      </c>
      <c r="R35" s="16">
        <f>'[2]JUL-07'!$AE$98*'[1]JULY 07'!$AY34</f>
        <v>3.983309541576096</v>
      </c>
      <c r="S35" s="17">
        <f>SUM(R35/R37)</f>
        <v>0.011729659281325636</v>
      </c>
      <c r="T35" s="16">
        <f>'[2]AUG-07'!$AF$102*'[1]AUG 07'!$AY34</f>
        <v>3.8955148455777864</v>
      </c>
      <c r="U35" s="17">
        <f>SUM(T35/T37)</f>
        <v>0.011674860567185369</v>
      </c>
      <c r="V35" s="67">
        <v>0</v>
      </c>
      <c r="W35" s="17" t="e">
        <f>SUM(V35/V37)</f>
        <v>#DIV/0!</v>
      </c>
      <c r="X35" s="67">
        <v>0</v>
      </c>
      <c r="Y35" s="17" t="e">
        <f>SUM(X35/X37)</f>
        <v>#DIV/0!</v>
      </c>
      <c r="Z35" s="67">
        <v>0</v>
      </c>
      <c r="AA35" s="17" t="e">
        <f>SUM(Z35/Z37)</f>
        <v>#DIV/0!</v>
      </c>
      <c r="AB35" s="67">
        <v>0</v>
      </c>
      <c r="AC35" s="17" t="e">
        <f>SUM(AB35/AB37)</f>
        <v>#DIV/0!</v>
      </c>
      <c r="AD35" s="16">
        <f t="shared" si="0"/>
        <v>27.116748629516053</v>
      </c>
      <c r="AE35" s="1"/>
      <c r="AF35" s="61"/>
    </row>
    <row r="36" spans="1:32" s="32" customFormat="1" ht="12.75">
      <c r="A36" s="12"/>
      <c r="B36" s="5"/>
      <c r="C36" s="15"/>
      <c r="D36" s="16"/>
      <c r="E36" s="17"/>
      <c r="F36" s="16"/>
      <c r="G36" s="17"/>
      <c r="H36" s="16"/>
      <c r="I36" s="17"/>
      <c r="J36" s="16"/>
      <c r="K36" s="17"/>
      <c r="L36" s="16"/>
      <c r="M36" s="17"/>
      <c r="N36" s="16"/>
      <c r="O36" s="17"/>
      <c r="P36" s="12"/>
      <c r="Q36" s="5"/>
      <c r="R36" s="16"/>
      <c r="S36" s="17"/>
      <c r="T36" s="16"/>
      <c r="U36" s="17"/>
      <c r="V36" s="67">
        <v>0</v>
      </c>
      <c r="W36" s="17"/>
      <c r="X36" s="67">
        <v>0</v>
      </c>
      <c r="Y36" s="17"/>
      <c r="Z36" s="67">
        <v>0</v>
      </c>
      <c r="AA36" s="17"/>
      <c r="AB36" s="67">
        <v>0</v>
      </c>
      <c r="AC36" s="17"/>
      <c r="AD36" s="16"/>
      <c r="AE36" s="1"/>
      <c r="AF36" s="61"/>
    </row>
    <row r="37" spans="1:32" s="32" customFormat="1" ht="13.5" thickBot="1">
      <c r="A37" s="19"/>
      <c r="B37" s="20" t="s">
        <v>30</v>
      </c>
      <c r="C37" s="21"/>
      <c r="D37" s="22">
        <f>SUM(D5:D36)</f>
        <v>289.8391598613478</v>
      </c>
      <c r="E37" s="23">
        <v>1</v>
      </c>
      <c r="F37" s="22">
        <f aca="true" t="shared" si="1" ref="F37:K37">SUM(F5:F36)</f>
        <v>267.43871111298586</v>
      </c>
      <c r="G37" s="23">
        <f t="shared" si="1"/>
        <v>1.0000000000000002</v>
      </c>
      <c r="H37" s="22">
        <f t="shared" si="1"/>
        <v>307.1599451547975</v>
      </c>
      <c r="I37" s="23">
        <f t="shared" si="1"/>
        <v>1</v>
      </c>
      <c r="J37" s="22">
        <f t="shared" si="1"/>
        <v>269.2018400435711</v>
      </c>
      <c r="K37" s="23">
        <f t="shared" si="1"/>
        <v>1.0000000000000004</v>
      </c>
      <c r="L37" s="22">
        <f>SUM(L5:L36)</f>
        <v>355.5021696203781</v>
      </c>
      <c r="M37" s="23">
        <f>SUM(M5:M36)</f>
        <v>1</v>
      </c>
      <c r="N37" s="22">
        <f>SUM(N5:N36)</f>
        <v>338.25515384712264</v>
      </c>
      <c r="O37" s="23">
        <f>SUM(O5:O36)</f>
        <v>0.9999999999999998</v>
      </c>
      <c r="P37" s="19"/>
      <c r="Q37" s="20" t="s">
        <v>30</v>
      </c>
      <c r="R37" s="22">
        <f>SUM(R5:R36)</f>
        <v>339.5929452032574</v>
      </c>
      <c r="S37" s="23">
        <f>SUM(S5:S36)</f>
        <v>0.9999999999999999</v>
      </c>
      <c r="T37" s="22">
        <f>SUM(T5:T36)</f>
        <v>333.66692674060226</v>
      </c>
      <c r="U37" s="23">
        <f>SUM(U5:U36)</f>
        <v>1</v>
      </c>
      <c r="V37" s="67">
        <v>0</v>
      </c>
      <c r="W37" s="23" t="e">
        <f>SUM(W5:W36)</f>
        <v>#DIV/0!</v>
      </c>
      <c r="X37" s="67">
        <v>0</v>
      </c>
      <c r="Y37" s="23" t="e">
        <f>SUM(Y5:Y36)</f>
        <v>#DIV/0!</v>
      </c>
      <c r="Z37" s="67">
        <v>0</v>
      </c>
      <c r="AA37" s="64" t="e">
        <f>SUM(AA5:AA36)</f>
        <v>#DIV/0!</v>
      </c>
      <c r="AB37" s="67">
        <v>0</v>
      </c>
      <c r="AC37" s="23" t="e">
        <f>SUM(AC5:AC36)</f>
        <v>#DIV/0!</v>
      </c>
      <c r="AD37" s="22">
        <f t="shared" si="0"/>
        <v>2500.6568515840627</v>
      </c>
      <c r="AE37" s="1"/>
      <c r="AF37" s="61"/>
    </row>
    <row r="38" spans="1:32" s="32" customFormat="1" ht="13.5" thickTop="1">
      <c r="A38" s="1"/>
      <c r="B38" s="1"/>
      <c r="C38" s="2"/>
      <c r="D38" s="35"/>
      <c r="E38" s="3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1"/>
      <c r="Q38" s="1"/>
      <c r="R38" s="36"/>
      <c r="S38" s="36"/>
      <c r="T38" s="36"/>
      <c r="U38" s="36"/>
      <c r="V38" s="63"/>
      <c r="W38" s="3"/>
      <c r="X38" s="16"/>
      <c r="Y38" s="3"/>
      <c r="Z38" s="1"/>
      <c r="AA38" s="3"/>
      <c r="AB38" s="1"/>
      <c r="AC38" s="3"/>
      <c r="AD38" s="63"/>
      <c r="AE38" s="1"/>
      <c r="AF38" s="24"/>
    </row>
    <row r="39" spans="1:32" s="32" customFormat="1" ht="12.75">
      <c r="A39" s="12">
        <v>16</v>
      </c>
      <c r="B39" s="5" t="s">
        <v>29</v>
      </c>
      <c r="C39" s="15">
        <v>1600</v>
      </c>
      <c r="D39" s="16">
        <f>'[2]JAN-07'!$AE$81*'[1]JAN 07'!$AY$36-15.41</f>
        <v>35.948279772046305</v>
      </c>
      <c r="E39" s="17">
        <f>D39/$D37</f>
        <v>0.1240283741825746</v>
      </c>
      <c r="F39" s="16">
        <f>'[2]FEB-07'!$AD$93*'[1]FEB 07'!$AW$37-12.28</f>
        <v>28.65128888701411</v>
      </c>
      <c r="G39" s="17">
        <f>SUM(F39/F37)</f>
        <v>0.10713216784427924</v>
      </c>
      <c r="H39" s="16">
        <f>'[2]MAR-07'!$AE$103*'[1]MARCH 07'!$AZ36-15.48</f>
        <v>36.12584197901285</v>
      </c>
      <c r="I39" s="17">
        <f>SUM(H39/H37)</f>
        <v>0.1176124769810293</v>
      </c>
      <c r="J39" s="16">
        <f>'[2]APR-07'!$AD$98*'[1]APRIL 07'!$AX36-12.5</f>
        <v>29.178159956428843</v>
      </c>
      <c r="K39" s="17">
        <f>SUM(J39/J37)</f>
        <v>0.10838766908764914</v>
      </c>
      <c r="L39" s="16">
        <f>'[2]MAY-07'!$AF$98*'[1]MAY 07'!$AZ36-15.71</f>
        <v>36.637830379621846</v>
      </c>
      <c r="M39" s="17">
        <f>SUM(L39/L37)</f>
        <v>0.10305937209538114</v>
      </c>
      <c r="N39" s="16">
        <f>'[2]JUN-07'!$AD$99*'[1]JUNE 07'!$AX36-11.88</f>
        <v>27.714846152877307</v>
      </c>
      <c r="O39" s="17">
        <f>SUM(N39/N37)</f>
        <v>0.08193473429056242</v>
      </c>
      <c r="P39" s="12">
        <v>16</v>
      </c>
      <c r="Q39" s="5" t="s">
        <v>29</v>
      </c>
      <c r="R39" s="16">
        <f>'[2]JUL-07'!$AE$98*'[1]JULY 07'!$AY36-35.41</f>
        <v>14.767054796742705</v>
      </c>
      <c r="S39" s="17">
        <f>SUM(R39/R37)</f>
        <v>0.0434845747101847</v>
      </c>
      <c r="T39" s="71">
        <f>'[2]AUG-07'!$AF$102*'[1]AUG 07'!$AY$36-35</f>
        <v>16.053073259397742</v>
      </c>
      <c r="U39" s="17">
        <f>SUM(T39/T37)</f>
        <v>0.048111071169716635</v>
      </c>
      <c r="V39" s="16">
        <v>0</v>
      </c>
      <c r="W39" s="17" t="e">
        <f>SUM(V39/V37)</f>
        <v>#DIV/0!</v>
      </c>
      <c r="X39" s="16">
        <v>0</v>
      </c>
      <c r="Y39" s="17" t="e">
        <f>SUM(X39/X37)</f>
        <v>#DIV/0!</v>
      </c>
      <c r="Z39" s="16">
        <v>0</v>
      </c>
      <c r="AA39" s="17" t="e">
        <f>SUM(Z39/Z37)</f>
        <v>#DIV/0!</v>
      </c>
      <c r="AB39" s="16">
        <v>0</v>
      </c>
      <c r="AC39" s="17" t="e">
        <f>SUM(AB39/AB37)</f>
        <v>#DIV/0!</v>
      </c>
      <c r="AD39" s="16">
        <f t="shared" si="0"/>
        <v>225.07637518314172</v>
      </c>
      <c r="AE39" s="1"/>
      <c r="AF39" s="24" t="s">
        <v>0</v>
      </c>
    </row>
    <row r="40" spans="1:32" s="32" customFormat="1" ht="12.75">
      <c r="A40" s="1"/>
      <c r="B40" s="1"/>
      <c r="C40" s="2"/>
      <c r="D40" s="35"/>
      <c r="E40" s="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1"/>
      <c r="Q40" s="1"/>
      <c r="R40" s="36"/>
      <c r="S40" s="36"/>
      <c r="T40" s="36"/>
      <c r="U40" s="36"/>
      <c r="V40" s="1"/>
      <c r="W40" s="3"/>
      <c r="X40" s="1"/>
      <c r="Y40" s="3"/>
      <c r="Z40" s="1"/>
      <c r="AA40" s="3"/>
      <c r="AB40" s="1"/>
      <c r="AC40" s="3"/>
      <c r="AD40" s="1"/>
      <c r="AE40" s="1"/>
      <c r="AF40" s="24" t="s">
        <v>0</v>
      </c>
    </row>
    <row r="41" spans="1:32" s="32" customFormat="1" ht="12.75">
      <c r="A41" s="1"/>
      <c r="B41" s="1"/>
      <c r="C41" s="37" t="s">
        <v>0</v>
      </c>
      <c r="D41" s="37"/>
      <c r="E41" s="37"/>
      <c r="F41" s="37"/>
      <c r="G41" s="37"/>
      <c r="H41" s="37"/>
      <c r="I41" s="37"/>
      <c r="J41" s="37"/>
      <c r="K41" s="37"/>
      <c r="L41" s="36"/>
      <c r="M41" s="37"/>
      <c r="N41" s="36"/>
      <c r="O41" s="37"/>
      <c r="P41" s="1"/>
      <c r="Q41" s="1"/>
      <c r="R41" s="37"/>
      <c r="S41" s="37" t="s">
        <v>0</v>
      </c>
      <c r="T41" s="36"/>
      <c r="U41" s="37"/>
      <c r="V41" s="1"/>
      <c r="W41" s="3"/>
      <c r="X41" s="1"/>
      <c r="Y41" s="3"/>
      <c r="Z41" s="1" t="s">
        <v>0</v>
      </c>
      <c r="AA41" s="3"/>
      <c r="AB41" s="1"/>
      <c r="AC41" s="3"/>
      <c r="AD41" s="1"/>
      <c r="AE41" s="1"/>
      <c r="AF41" s="24"/>
    </row>
    <row r="42" spans="1:32" s="32" customFormat="1" ht="12.75">
      <c r="A42" s="5" t="s">
        <v>47</v>
      </c>
      <c r="B42" s="1"/>
      <c r="C42" s="2"/>
      <c r="D42" s="1"/>
      <c r="E42" s="3"/>
      <c r="F42" s="1" t="s">
        <v>0</v>
      </c>
      <c r="G42" s="3"/>
      <c r="H42" s="36"/>
      <c r="I42" s="3"/>
      <c r="J42" s="1"/>
      <c r="K42" s="3"/>
      <c r="L42" s="1"/>
      <c r="M42" s="3"/>
      <c r="N42" s="1"/>
      <c r="O42" s="3" t="s">
        <v>0</v>
      </c>
      <c r="P42" s="5" t="s">
        <v>14</v>
      </c>
      <c r="Q42" s="1"/>
      <c r="R42" s="1"/>
      <c r="S42" s="3"/>
      <c r="T42" s="1"/>
      <c r="U42" s="3"/>
      <c r="V42" s="1"/>
      <c r="W42" s="3"/>
      <c r="X42" s="1"/>
      <c r="Y42" s="3"/>
      <c r="Z42" s="1"/>
      <c r="AA42" s="3"/>
      <c r="AB42" s="1"/>
      <c r="AC42" s="3"/>
      <c r="AD42" s="1"/>
      <c r="AE42" s="1"/>
      <c r="AF42" s="24"/>
    </row>
    <row r="43" spans="1:32" s="32" customFormat="1" ht="12.75">
      <c r="A43" s="5"/>
      <c r="B43" s="5"/>
      <c r="C43" s="2"/>
      <c r="D43" s="1"/>
      <c r="E43" s="3"/>
      <c r="F43" s="1"/>
      <c r="G43" s="3"/>
      <c r="H43" s="36"/>
      <c r="I43" s="3"/>
      <c r="J43" s="1"/>
      <c r="K43" s="3"/>
      <c r="L43" s="1"/>
      <c r="M43" s="3"/>
      <c r="N43" s="1"/>
      <c r="O43" s="3"/>
      <c r="P43" s="5"/>
      <c r="Q43" s="5" t="s">
        <v>32</v>
      </c>
      <c r="R43" s="1"/>
      <c r="S43" s="3" t="s">
        <v>0</v>
      </c>
      <c r="T43" s="1"/>
      <c r="U43" s="3"/>
      <c r="V43" s="1"/>
      <c r="W43" s="3"/>
      <c r="X43" s="1"/>
      <c r="Y43" s="3"/>
      <c r="Z43" s="1"/>
      <c r="AA43" s="3"/>
      <c r="AB43" s="1"/>
      <c r="AC43" s="3"/>
      <c r="AD43" s="1"/>
      <c r="AE43" s="1"/>
      <c r="AF43" s="24"/>
    </row>
    <row r="44" spans="1:32" s="38" customFormat="1" ht="12.75" customHeight="1">
      <c r="A44" s="12">
        <v>1</v>
      </c>
      <c r="B44" s="5" t="s">
        <v>13</v>
      </c>
      <c r="C44" s="15">
        <f>+C5</f>
        <v>1420</v>
      </c>
      <c r="D44" s="16">
        <f>693.52-D5-D7-D9-D11-'[2]JAN-07'!$AE$89-'[5]Jan'!$E$13</f>
        <v>440.516933670172</v>
      </c>
      <c r="E44" s="17">
        <f>D44/$D51</f>
        <v>0.41856697228607803</v>
      </c>
      <c r="F44" s="16">
        <f>483.04-F5-F7-F9-F11-'[2]FEB-07'!$AD$102-'[5]Jan'!$E$13</f>
        <v>279.537818952608</v>
      </c>
      <c r="G44" s="17">
        <f>SUM(F44/F51)</f>
        <v>0.43870605227574777</v>
      </c>
      <c r="H44" s="16">
        <f>408.82-'[2]MAR-07'!$AE$112-H5-119.19-'[5]Mar'!$E$13</f>
        <v>138.58335934700392</v>
      </c>
      <c r="I44" s="17">
        <f>SUM(H44/H51)</f>
        <v>0.23604046032886256</v>
      </c>
      <c r="J44" s="16">
        <f>636.65-J5-J7-J9-J11-'[5]April'!$E$13-'[2]APR-07'!$AD$107</f>
        <v>410.1479519041434</v>
      </c>
      <c r="K44" s="17">
        <f>SUM(J44/J51)</f>
        <v>0.5688368208681596</v>
      </c>
      <c r="L44" s="16">
        <f>491.02-104.94-'[5]May'!$E$13-'[2]MAY-07'!$AF$107</f>
        <v>299.1</v>
      </c>
      <c r="M44" s="17">
        <f>SUM(L44/L51)</f>
        <v>0.4243270877636652</v>
      </c>
      <c r="N44" s="16">
        <f>696.89-209.98-54.7</f>
        <v>432.21</v>
      </c>
      <c r="O44" s="17">
        <f>SUM(N44/N51)</f>
        <v>0.5110979749961448</v>
      </c>
      <c r="P44" s="12">
        <v>1</v>
      </c>
      <c r="Q44" s="5" t="s">
        <v>13</v>
      </c>
      <c r="R44" s="16">
        <f>276.35+44.65+383.4-99.68-9.76</f>
        <v>594.96</v>
      </c>
      <c r="S44" s="17">
        <f>SUM(R44/R51)</f>
        <v>0.5441126709040194</v>
      </c>
      <c r="T44" s="16">
        <f>182.21+44.41+390.96+21.98-270.15</f>
        <v>369.40999999999997</v>
      </c>
      <c r="U44" s="17">
        <f>SUM(T44/T51)</f>
        <v>0.452813767911646</v>
      </c>
      <c r="V44" s="16">
        <v>0</v>
      </c>
      <c r="W44" s="17" t="e">
        <f>+V44/V$51</f>
        <v>#DIV/0!</v>
      </c>
      <c r="X44" s="16">
        <v>0</v>
      </c>
      <c r="Y44" s="17" t="e">
        <f>+X44/X$51</f>
        <v>#DIV/0!</v>
      </c>
      <c r="Z44" s="16">
        <v>0</v>
      </c>
      <c r="AA44" s="17" t="e">
        <f>+Z44/#REF!</f>
        <v>#REF!</v>
      </c>
      <c r="AB44" s="16">
        <v>0</v>
      </c>
      <c r="AC44" s="65" t="e">
        <f>+AB44/#REF!</f>
        <v>#REF!</v>
      </c>
      <c r="AD44" s="16">
        <f>D44+F44+H44+J44+L44+N44+R44+T44</f>
        <v>2964.4660638739274</v>
      </c>
      <c r="AE44" s="4"/>
      <c r="AF44" s="55"/>
    </row>
    <row r="45" spans="1:32" s="38" customFormat="1" ht="15.75" customHeight="1">
      <c r="A45" s="12">
        <v>2</v>
      </c>
      <c r="B45" s="5" t="s">
        <v>11</v>
      </c>
      <c r="C45" s="15">
        <v>750</v>
      </c>
      <c r="D45" s="16">
        <v>0</v>
      </c>
      <c r="E45" s="17">
        <f>D45/$D51</f>
        <v>0</v>
      </c>
      <c r="F45" s="16">
        <f>'[4]STRATEGIC '!$C$15-F32-F33-'[5]Feb'!$E$16</f>
        <v>171.52308733891547</v>
      </c>
      <c r="G45" s="17">
        <f>SUM(F45/F51)</f>
        <v>0.269187964628719</v>
      </c>
      <c r="H45" s="16">
        <f>410.43-'[5]Mar'!$E$17-H32-H33</f>
        <v>287.2636084555632</v>
      </c>
      <c r="I45" s="17">
        <f>SUM(H45/H51)</f>
        <v>0.48927832818513056</v>
      </c>
      <c r="J45" s="16">
        <f>288.29-'[5]April'!$E$17-J32-J33</f>
        <v>177.17123758850397</v>
      </c>
      <c r="K45" s="17">
        <f>SUM(J45/J51)</f>
        <v>0.24571992392315017</v>
      </c>
      <c r="L45" s="16">
        <f>407.17-'[5]May'!$E$17-L32-L33</f>
        <v>263.52075973737476</v>
      </c>
      <c r="M45" s="17">
        <f>SUM(L45/L51)</f>
        <v>0.3738515431114301</v>
      </c>
      <c r="N45" s="16">
        <f>334.74-133.48</f>
        <v>201.26000000000002</v>
      </c>
      <c r="O45" s="17">
        <f>SUM(N45/N51)</f>
        <v>0.23799444355226423</v>
      </c>
      <c r="P45" s="12">
        <v>2</v>
      </c>
      <c r="Q45" s="5" t="s">
        <v>11</v>
      </c>
      <c r="R45" s="16">
        <f>430.64-175.47</f>
        <v>255.17</v>
      </c>
      <c r="S45" s="17">
        <f>SUM(R45/R51)</f>
        <v>0.23336229365768896</v>
      </c>
      <c r="T45" s="16">
        <f>455.42-291.95</f>
        <v>163.47000000000003</v>
      </c>
      <c r="U45" s="17">
        <f>SUM(T45/T51)</f>
        <v>0.20037753888773124</v>
      </c>
      <c r="V45" s="16">
        <v>0</v>
      </c>
      <c r="W45" s="17" t="e">
        <f>+V45/V$51</f>
        <v>#DIV/0!</v>
      </c>
      <c r="X45" s="16">
        <v>0</v>
      </c>
      <c r="Y45" s="17" t="e">
        <f>+X45/X$51</f>
        <v>#DIV/0!</v>
      </c>
      <c r="Z45" s="16">
        <v>0</v>
      </c>
      <c r="AA45" s="17" t="e">
        <f>+Z45/#REF!</f>
        <v>#REF!</v>
      </c>
      <c r="AB45" s="16">
        <v>0</v>
      </c>
      <c r="AC45" s="65" t="e">
        <f>+AB45/#REF!</f>
        <v>#REF!</v>
      </c>
      <c r="AD45" s="16">
        <f>D45+F45+H45+J45+L45+N45+R45+T45</f>
        <v>1519.3786931203576</v>
      </c>
      <c r="AE45" s="4"/>
      <c r="AF45" s="55"/>
    </row>
    <row r="46" spans="1:32" s="38" customFormat="1" ht="17.25" customHeight="1">
      <c r="A46" s="12">
        <v>3</v>
      </c>
      <c r="B46" s="44" t="s">
        <v>35</v>
      </c>
      <c r="C46" s="51" t="s">
        <v>12</v>
      </c>
      <c r="D46" s="45">
        <f>772.69+63.91-D21-D19-D23-D25-D27-'[2]JAN-07'!$AE$88-'[5]Jan'!$E$15-'[5]Jan'!$E$16-'[5]Jan'!$E$17</f>
        <v>563.543805416838</v>
      </c>
      <c r="E46" s="52">
        <f>D46/$D51</f>
        <v>0.5354636935716789</v>
      </c>
      <c r="F46" s="45">
        <f>'[4]CUSTOM ALLOY INDUSTRIAL'!$C$58+'[4]RECYCLE ZONE'!$C$7+'[4]DRIP HOSE'!$E$7+'[4]STD IRON'!$C$13-'[5]Feb'!$H$17-F19-F21-F23-F25-F27-'[2]FEB-07'!$AD$100-'[2]FEB-07'!$AD$101</f>
        <v>88.83615211018082</v>
      </c>
      <c r="G46" s="52">
        <f>SUM(F46/F51)</f>
        <v>0.13941926619321812</v>
      </c>
      <c r="H46" s="45">
        <f>324.05-21.88-'[5]Mar'!$E$18-4.9-'[2]MAR-07'!$AE$110</f>
        <v>69.29000000000005</v>
      </c>
      <c r="I46" s="52">
        <f>SUM(H46/H51)</f>
        <v>0.11801736928049499</v>
      </c>
      <c r="J46" s="45">
        <f>170.59+84.58-'[2]APR-07'!$AD$105</f>
        <v>52.75000000000003</v>
      </c>
      <c r="K46" s="52">
        <f>SUM(J46/J51)</f>
        <v>0.07315931278332517</v>
      </c>
      <c r="L46" s="45">
        <f>274.34-28.65-'[2]MAY-07'!$AF$105</f>
        <v>40.91</v>
      </c>
      <c r="M46" s="52">
        <f>SUM(L46/L51)</f>
        <v>0.05803818508997506</v>
      </c>
      <c r="N46" s="45">
        <v>133.39</v>
      </c>
      <c r="O46" s="52">
        <f>SUM(N46/N51)</f>
        <v>0.15773665321194733</v>
      </c>
      <c r="P46" s="12">
        <v>3</v>
      </c>
      <c r="Q46" s="44" t="s">
        <v>35</v>
      </c>
      <c r="R46" s="45">
        <f>43.33+9.76+38.18+56.53</f>
        <v>147.8</v>
      </c>
      <c r="S46" s="52">
        <f>SUM(R46/R51)</f>
        <v>0.13516850336092187</v>
      </c>
      <c r="T46" s="45">
        <f>45.58+20.41+134.3</f>
        <v>200.29000000000002</v>
      </c>
      <c r="U46" s="52">
        <f>SUM(T46/T51)</f>
        <v>0.24551059683014428</v>
      </c>
      <c r="V46" s="45">
        <v>0</v>
      </c>
      <c r="W46" s="52" t="e">
        <f>+V46/V$51</f>
        <v>#DIV/0!</v>
      </c>
      <c r="X46" s="45">
        <v>0</v>
      </c>
      <c r="Y46" s="52" t="e">
        <f>+X46/X$51</f>
        <v>#DIV/0!</v>
      </c>
      <c r="Z46" s="45">
        <v>0</v>
      </c>
      <c r="AA46" s="52" t="e">
        <f>+Z46/#REF!</f>
        <v>#REF!</v>
      </c>
      <c r="AB46" s="45">
        <v>0</v>
      </c>
      <c r="AC46" s="66" t="e">
        <f>+AB46/#REF!</f>
        <v>#REF!</v>
      </c>
      <c r="AD46" s="16">
        <f>D46+F46+H46+J46+L46+N46+R46+T46</f>
        <v>1296.809957527019</v>
      </c>
      <c r="AE46" s="4"/>
      <c r="AF46" s="55"/>
    </row>
    <row r="47" spans="1:32" s="38" customFormat="1" ht="17.25" customHeight="1">
      <c r="A47" s="12">
        <v>4</v>
      </c>
      <c r="B47" s="5" t="s">
        <v>42</v>
      </c>
      <c r="C47" s="15" t="s">
        <v>12</v>
      </c>
      <c r="D47" s="16">
        <v>44.96</v>
      </c>
      <c r="E47" s="17">
        <f>D47/$D51</f>
        <v>0.04271974499866158</v>
      </c>
      <c r="F47" s="16">
        <f>'2007'!F47</f>
        <v>37.77</v>
      </c>
      <c r="G47" s="17">
        <f>SUM(F47/F51)</f>
        <v>0.05927615682393304</v>
      </c>
      <c r="H47" s="16">
        <f>'2007'!H47</f>
        <v>68.74</v>
      </c>
      <c r="I47" s="17">
        <f>SUM(H47/H51)</f>
        <v>0.11708058831492595</v>
      </c>
      <c r="J47" s="16">
        <f>'2007'!J47</f>
        <v>48.57</v>
      </c>
      <c r="K47" s="17">
        <f>SUM(J47/J51)</f>
        <v>0.06736204401679813</v>
      </c>
      <c r="L47" s="16">
        <f>'2007'!L47</f>
        <v>76.84</v>
      </c>
      <c r="M47" s="17">
        <f>SUM(L47/L51)</f>
        <v>0.10901134544888008</v>
      </c>
      <c r="N47" s="16">
        <f>'[6]BP JUNE'!$D$26-3.68</f>
        <v>75.109995</v>
      </c>
      <c r="O47" s="17">
        <f>SUM(N47/N51)</f>
        <v>0.08881924607591347</v>
      </c>
      <c r="P47" s="60">
        <v>4</v>
      </c>
      <c r="Q47" s="5" t="s">
        <v>42</v>
      </c>
      <c r="R47" s="16">
        <f>'[7]BP JULY'!$D$15+55.4</f>
        <v>78.75</v>
      </c>
      <c r="S47" s="17">
        <f>SUM(R47/R51)</f>
        <v>0.07201975398966573</v>
      </c>
      <c r="T47" s="16">
        <v>68.04</v>
      </c>
      <c r="U47" s="17">
        <f>SUM(T47/T51)</f>
        <v>0.08340177247153137</v>
      </c>
      <c r="V47" s="16">
        <v>0</v>
      </c>
      <c r="W47" s="17" t="e">
        <f>SUM(V47/V51)</f>
        <v>#DIV/0!</v>
      </c>
      <c r="X47" s="16">
        <v>0</v>
      </c>
      <c r="Y47" s="17" t="e">
        <f>SUM(X47/X51)</f>
        <v>#DIV/0!</v>
      </c>
      <c r="Z47" s="16">
        <v>0</v>
      </c>
      <c r="AA47" s="52" t="e">
        <f>+Z47/#REF!</f>
        <v>#REF!</v>
      </c>
      <c r="AB47" s="16">
        <v>0</v>
      </c>
      <c r="AC47" s="66" t="e">
        <f>+AB47/#REF!</f>
        <v>#REF!</v>
      </c>
      <c r="AD47" s="16">
        <f>D47+F47+H47+J47+L47+N47+R47+T47</f>
        <v>498.77999500000004</v>
      </c>
      <c r="AE47" s="4"/>
      <c r="AF47" s="55"/>
    </row>
    <row r="48" spans="1:32" s="38" customFormat="1" ht="16.5" customHeight="1">
      <c r="A48" s="12">
        <v>5</v>
      </c>
      <c r="B48" s="5" t="s">
        <v>36</v>
      </c>
      <c r="C48" s="15" t="s">
        <v>12</v>
      </c>
      <c r="D48" s="16">
        <v>3.42</v>
      </c>
      <c r="E48" s="17">
        <f>D48/$D51</f>
        <v>0.0032495891435814638</v>
      </c>
      <c r="F48" s="16">
        <f>'2007'!F48</f>
        <v>59.52</v>
      </c>
      <c r="G48" s="17">
        <f>SUM(F48/F51)</f>
        <v>0.09341056007838217</v>
      </c>
      <c r="H48" s="16">
        <f>'2007'!H48</f>
        <v>23.24</v>
      </c>
      <c r="I48" s="17">
        <f>SUM(H48/H51)</f>
        <v>0.03958325389058596</v>
      </c>
      <c r="J48" s="16">
        <f>'2007'!J48</f>
        <v>32.39</v>
      </c>
      <c r="K48" s="17">
        <f>SUM(J48/J51)</f>
        <v>0.04492189840856684</v>
      </c>
      <c r="L48" s="16">
        <f>'2007'!L48</f>
        <v>24.509999999999998</v>
      </c>
      <c r="M48" s="17">
        <f>SUM(L48/L51)</f>
        <v>0.03477183858604959</v>
      </c>
      <c r="N48" s="16">
        <v>3.68</v>
      </c>
      <c r="O48" s="17">
        <f>SUM(N48/N51)</f>
        <v>0.004351682163730161</v>
      </c>
      <c r="P48" s="60">
        <v>5</v>
      </c>
      <c r="Q48" s="5" t="s">
        <v>36</v>
      </c>
      <c r="R48" s="16">
        <f>'[7]BP JULY'!$D$21+'[7]BP JULY'!$D$22+'[7]BP JULY'!$D$23+'[7]BP JULY'!$D$24</f>
        <v>16.77</v>
      </c>
      <c r="S48" s="17">
        <f>SUM(R48/R51)</f>
        <v>0.015336778087704055</v>
      </c>
      <c r="T48" s="16">
        <v>14.6</v>
      </c>
      <c r="U48" s="17">
        <f>SUM(T48/T51)</f>
        <v>0.017896323898947058</v>
      </c>
      <c r="V48" s="16">
        <v>0</v>
      </c>
      <c r="W48" s="17" t="e">
        <f>SUM(V48/V51)</f>
        <v>#DIV/0!</v>
      </c>
      <c r="X48" s="16">
        <v>0</v>
      </c>
      <c r="Y48" s="17" t="e">
        <f>SUM(X48/X51)</f>
        <v>#DIV/0!</v>
      </c>
      <c r="Z48" s="16">
        <v>0</v>
      </c>
      <c r="AA48" s="17" t="e">
        <f>+Z48/Z$51</f>
        <v>#DIV/0!</v>
      </c>
      <c r="AB48" s="16">
        <v>0</v>
      </c>
      <c r="AC48" s="17" t="e">
        <f>+AB48/#REF!</f>
        <v>#REF!</v>
      </c>
      <c r="AD48" s="16">
        <f>D48+F48+H48+J48+L48+N48+R48+T48</f>
        <v>178.13000000000002</v>
      </c>
      <c r="AE48" s="4"/>
      <c r="AF48" s="18"/>
    </row>
    <row r="49" spans="1:32" s="38" customFormat="1" ht="16.5" customHeight="1">
      <c r="A49" s="12">
        <v>6</v>
      </c>
      <c r="B49" s="5" t="s">
        <v>43</v>
      </c>
      <c r="C49" s="15" t="s">
        <v>12</v>
      </c>
      <c r="D49" s="16"/>
      <c r="E49" s="17"/>
      <c r="F49" s="16"/>
      <c r="G49" s="17"/>
      <c r="H49" s="16"/>
      <c r="I49" s="17"/>
      <c r="J49" s="16"/>
      <c r="K49" s="17"/>
      <c r="L49" s="16"/>
      <c r="M49" s="17"/>
      <c r="N49" s="16"/>
      <c r="O49" s="17"/>
      <c r="P49" s="60">
        <v>6</v>
      </c>
      <c r="Q49" s="5" t="s">
        <v>43</v>
      </c>
      <c r="R49" s="16"/>
      <c r="S49" s="17"/>
      <c r="T49" s="16"/>
      <c r="U49" s="17"/>
      <c r="V49" s="45"/>
      <c r="W49" s="52" t="e">
        <f>SUM(V49/V51)</f>
        <v>#DIV/0!</v>
      </c>
      <c r="X49" s="45"/>
      <c r="Y49" s="52" t="e">
        <f>SUM(X49/X51)</f>
        <v>#DIV/0!</v>
      </c>
      <c r="Z49" s="45"/>
      <c r="AA49" s="52" t="e">
        <f>SUM(Z49/Z51)</f>
        <v>#DIV/0!</v>
      </c>
      <c r="AB49" s="45"/>
      <c r="AC49" s="52" t="e">
        <f>SUM(AB49/AB51)</f>
        <v>#DIV/0!</v>
      </c>
      <c r="AD49" s="16"/>
      <c r="AE49" s="4"/>
      <c r="AF49" s="18"/>
    </row>
    <row r="50" spans="1:32" s="32" customFormat="1" ht="12.75">
      <c r="A50" s="1"/>
      <c r="B50" s="1"/>
      <c r="C50" s="25"/>
      <c r="D50" s="18"/>
      <c r="E50" s="50"/>
      <c r="F50" s="24"/>
      <c r="G50" s="46"/>
      <c r="H50" s="54"/>
      <c r="I50" s="46"/>
      <c r="J50" s="24"/>
      <c r="K50" s="46"/>
      <c r="L50" s="24"/>
      <c r="M50" s="46"/>
      <c r="N50" s="24"/>
      <c r="O50" s="46"/>
      <c r="P50" s="24"/>
      <c r="Q50" s="24"/>
      <c r="R50" s="24"/>
      <c r="S50" s="46"/>
      <c r="T50" s="24"/>
      <c r="U50" s="56"/>
      <c r="V50" s="24"/>
      <c r="W50" s="46"/>
      <c r="X50" s="24"/>
      <c r="Y50" s="46" t="s">
        <v>0</v>
      </c>
      <c r="Z50" s="24"/>
      <c r="AA50" s="46"/>
      <c r="AB50" s="24"/>
      <c r="AC50" s="46"/>
      <c r="AD50" s="24"/>
      <c r="AE50" s="1"/>
      <c r="AF50" s="18"/>
    </row>
    <row r="51" spans="1:32" s="32" customFormat="1" ht="13.5" thickBot="1">
      <c r="A51" s="19"/>
      <c r="B51" s="20" t="s">
        <v>15</v>
      </c>
      <c r="C51" s="57"/>
      <c r="D51" s="16">
        <f>SUM(D44:D50)</f>
        <v>1052.4407390870101</v>
      </c>
      <c r="E51" s="58"/>
      <c r="F51" s="16">
        <f>SUM(F44:F49)</f>
        <v>637.1870584017042</v>
      </c>
      <c r="G51" s="58"/>
      <c r="H51" s="16">
        <f>SUM(H44:H50)</f>
        <v>587.1169678025672</v>
      </c>
      <c r="I51" s="58"/>
      <c r="J51" s="16">
        <f>SUM(J44:J50)</f>
        <v>721.0291894926474</v>
      </c>
      <c r="K51" s="58"/>
      <c r="L51" s="16">
        <f>SUM(L44:L50)</f>
        <v>704.8807597373748</v>
      </c>
      <c r="M51" s="58"/>
      <c r="N51" s="16">
        <f>SUM(N44:N50)</f>
        <v>845.649995</v>
      </c>
      <c r="O51" s="58"/>
      <c r="P51" s="59"/>
      <c r="Q51" s="53" t="s">
        <v>15</v>
      </c>
      <c r="R51" s="16">
        <f>SUM(R44:R50)</f>
        <v>1093.45</v>
      </c>
      <c r="S51" s="16"/>
      <c r="T51" s="16">
        <f>SUM(T44:T50)</f>
        <v>815.8100000000001</v>
      </c>
      <c r="U51" s="16"/>
      <c r="V51" s="16">
        <f>SUM(V44:V50)</f>
        <v>0</v>
      </c>
      <c r="W51" s="58"/>
      <c r="X51" s="16">
        <f>SUM(X44:X50)</f>
        <v>0</v>
      </c>
      <c r="Y51" s="58"/>
      <c r="Z51" s="16">
        <f>SUM(Z44:Z50)</f>
        <v>0</v>
      </c>
      <c r="AA51" s="58"/>
      <c r="AB51" s="16">
        <f>SUM(AB44:AB50)</f>
        <v>0</v>
      </c>
      <c r="AC51" s="58"/>
      <c r="AD51" s="16">
        <f>SUM(AD44:AD50)</f>
        <v>6457.564709521304</v>
      </c>
      <c r="AE51" s="1" t="s">
        <v>0</v>
      </c>
      <c r="AF51" s="18"/>
    </row>
    <row r="52" spans="1:32" s="31" customFormat="1" ht="17.25" customHeight="1" thickTop="1">
      <c r="A52" s="40"/>
      <c r="B52" s="5" t="s">
        <v>34</v>
      </c>
      <c r="C52" s="6"/>
      <c r="D52" s="27">
        <f>D39/D51</f>
        <v>0.034157058385283864</v>
      </c>
      <c r="E52" s="27"/>
      <c r="F52" s="27">
        <f>F39/F51</f>
        <v>0.044965271201335935</v>
      </c>
      <c r="G52" s="27"/>
      <c r="H52" s="27">
        <f>H39/H51</f>
        <v>0.06153091114743778</v>
      </c>
      <c r="I52" s="27"/>
      <c r="J52" s="27">
        <f>J39/J51</f>
        <v>0.040467376885199434</v>
      </c>
      <c r="K52" s="27"/>
      <c r="L52" s="27">
        <f>L39/L51</f>
        <v>0.051977344924654216</v>
      </c>
      <c r="M52" s="28"/>
      <c r="N52" s="27">
        <f>N39/N51</f>
        <v>0.03277342436793523</v>
      </c>
      <c r="O52" s="28"/>
      <c r="P52" s="40"/>
      <c r="Q52" s="5" t="s">
        <v>16</v>
      </c>
      <c r="R52" s="27">
        <f>R39/R51</f>
        <v>0.013505011474454895</v>
      </c>
      <c r="S52" s="28"/>
      <c r="T52" s="27">
        <f>T39/T51</f>
        <v>0.019677465659158063</v>
      </c>
      <c r="U52" s="28" t="s">
        <v>0</v>
      </c>
      <c r="V52" s="27" t="e">
        <f>V39/#REF!</f>
        <v>#REF!</v>
      </c>
      <c r="W52" s="28" t="s">
        <v>0</v>
      </c>
      <c r="X52" s="27" t="e">
        <f>X39/#REF!</f>
        <v>#REF!</v>
      </c>
      <c r="Y52" s="29"/>
      <c r="Z52" s="27" t="e">
        <f>Z39/#REF!</f>
        <v>#REF!</v>
      </c>
      <c r="AA52" s="29"/>
      <c r="AB52" s="27" t="e">
        <f>AB39/#REF!</f>
        <v>#REF!</v>
      </c>
      <c r="AC52" s="29" t="s">
        <v>0</v>
      </c>
      <c r="AD52" s="27"/>
      <c r="AE52" s="5"/>
      <c r="AF52" s="18"/>
    </row>
    <row r="53" spans="1:32" s="31" customFormat="1" ht="17.25" customHeight="1">
      <c r="A53" s="41" t="s">
        <v>37</v>
      </c>
      <c r="B53" s="29" t="s">
        <v>38</v>
      </c>
      <c r="C53" s="29"/>
      <c r="D53" s="27"/>
      <c r="E53" s="28"/>
      <c r="F53" s="27"/>
      <c r="G53" s="28"/>
      <c r="H53" s="27"/>
      <c r="I53" s="28"/>
      <c r="J53" s="27"/>
      <c r="K53" s="28"/>
      <c r="L53" s="27"/>
      <c r="M53" s="28"/>
      <c r="N53" s="27" t="s">
        <v>0</v>
      </c>
      <c r="O53" s="28"/>
      <c r="P53" s="41" t="s">
        <v>37</v>
      </c>
      <c r="Q53" s="29" t="s">
        <v>38</v>
      </c>
      <c r="R53" s="29"/>
      <c r="S53" s="27" t="s">
        <v>0</v>
      </c>
      <c r="T53" s="12"/>
      <c r="U53" s="27" t="s">
        <v>0</v>
      </c>
      <c r="V53" s="28"/>
      <c r="W53" s="28"/>
      <c r="X53" s="39"/>
      <c r="Y53" s="29"/>
      <c r="Z53" s="39" t="s">
        <v>0</v>
      </c>
      <c r="AA53" s="29"/>
      <c r="AB53" s="39"/>
      <c r="AC53" s="29"/>
      <c r="AD53" s="39"/>
      <c r="AE53" s="5"/>
      <c r="AF53" s="70"/>
    </row>
    <row r="54" spans="1:32" s="31" customFormat="1" ht="17.25" customHeight="1">
      <c r="A54" s="41" t="s">
        <v>19</v>
      </c>
      <c r="B54" s="29" t="s">
        <v>40</v>
      </c>
      <c r="C54" s="29"/>
      <c r="D54" s="27"/>
      <c r="E54" s="28"/>
      <c r="F54" s="27"/>
      <c r="G54" s="28"/>
      <c r="H54" s="27"/>
      <c r="I54" s="28"/>
      <c r="J54" s="27"/>
      <c r="K54" s="28"/>
      <c r="L54" s="27"/>
      <c r="M54" s="28"/>
      <c r="N54" s="27"/>
      <c r="O54" s="28"/>
      <c r="P54" s="41" t="s">
        <v>19</v>
      </c>
      <c r="Q54" s="29" t="s">
        <v>40</v>
      </c>
      <c r="R54" s="29"/>
      <c r="S54" s="27"/>
      <c r="T54" s="12"/>
      <c r="U54" s="27"/>
      <c r="V54" s="28"/>
      <c r="W54" s="28"/>
      <c r="X54" s="39"/>
      <c r="Y54" s="29"/>
      <c r="Z54" s="39"/>
      <c r="AA54" s="29"/>
      <c r="AB54" s="39"/>
      <c r="AC54" s="29"/>
      <c r="AD54" s="39"/>
      <c r="AE54" s="5"/>
      <c r="AF54" s="5"/>
    </row>
    <row r="55" spans="1:32" s="31" customFormat="1" ht="17.25" customHeight="1">
      <c r="A55" s="41" t="s">
        <v>39</v>
      </c>
      <c r="B55" s="29" t="s">
        <v>48</v>
      </c>
      <c r="C55" s="29"/>
      <c r="D55" s="27"/>
      <c r="E55" s="28"/>
      <c r="F55" s="27"/>
      <c r="G55" s="28"/>
      <c r="H55" s="27"/>
      <c r="I55" s="28"/>
      <c r="J55" s="27"/>
      <c r="K55" s="28"/>
      <c r="L55" s="27"/>
      <c r="M55" s="28"/>
      <c r="N55" s="27"/>
      <c r="O55" s="28"/>
      <c r="P55" s="41" t="s">
        <v>39</v>
      </c>
      <c r="Q55" s="29" t="s">
        <v>41</v>
      </c>
      <c r="R55" s="29"/>
      <c r="S55" s="27"/>
      <c r="T55" s="12"/>
      <c r="U55" s="27"/>
      <c r="V55" s="28"/>
      <c r="W55" s="28"/>
      <c r="X55" s="39"/>
      <c r="Y55" s="29"/>
      <c r="Z55" s="39"/>
      <c r="AA55" s="29"/>
      <c r="AB55" s="39"/>
      <c r="AC55" s="29"/>
      <c r="AD55" s="39"/>
      <c r="AE55" s="5"/>
      <c r="AF55" s="5"/>
    </row>
    <row r="56" spans="1:32" s="31" customFormat="1" ht="17.25" customHeight="1">
      <c r="A56" s="41"/>
      <c r="B56" s="29"/>
      <c r="C56" s="29"/>
      <c r="D56" s="27"/>
      <c r="E56" s="28"/>
      <c r="F56" s="27"/>
      <c r="G56" s="28"/>
      <c r="H56" s="27"/>
      <c r="I56" s="28"/>
      <c r="J56" s="27"/>
      <c r="K56" s="28"/>
      <c r="L56" s="27"/>
      <c r="M56" s="28"/>
      <c r="N56" s="27"/>
      <c r="O56" s="28"/>
      <c r="P56" s="41"/>
      <c r="Q56" s="29"/>
      <c r="R56" s="29"/>
      <c r="S56" s="29"/>
      <c r="T56" s="12"/>
      <c r="U56" s="27"/>
      <c r="V56" s="27"/>
      <c r="W56" s="28"/>
      <c r="X56" s="39"/>
      <c r="Y56" s="29"/>
      <c r="Z56" s="39"/>
      <c r="AA56" s="29"/>
      <c r="AB56" s="39"/>
      <c r="AC56" s="29"/>
      <c r="AD56" s="39"/>
      <c r="AE56" s="5"/>
      <c r="AF56" s="5"/>
    </row>
    <row r="57" spans="1:32" s="31" customFormat="1" ht="12.75">
      <c r="A57" s="5"/>
      <c r="B57" s="29"/>
      <c r="C57" s="29"/>
      <c r="D57" s="30"/>
      <c r="E57" s="28"/>
      <c r="F57" s="27"/>
      <c r="G57" s="28" t="s">
        <v>0</v>
      </c>
      <c r="H57" s="27"/>
      <c r="I57" s="28"/>
      <c r="J57" s="27"/>
      <c r="K57" s="28"/>
      <c r="L57" s="27"/>
      <c r="M57" s="28"/>
      <c r="N57" s="27"/>
      <c r="O57" s="28"/>
      <c r="P57" s="5"/>
      <c r="Q57" s="29"/>
      <c r="R57" s="27"/>
      <c r="S57" s="28"/>
      <c r="T57" s="27"/>
      <c r="U57" s="28"/>
      <c r="V57" s="27"/>
      <c r="W57" s="28"/>
      <c r="X57" s="39"/>
      <c r="Y57" s="29"/>
      <c r="Z57" s="39"/>
      <c r="AA57" s="29"/>
      <c r="AB57" s="39"/>
      <c r="AC57" s="29"/>
      <c r="AD57" s="39"/>
      <c r="AE57" s="5"/>
      <c r="AF57" s="5"/>
    </row>
  </sheetData>
  <printOptions horizontalCentered="1"/>
  <pageMargins left="0.5" right="0.25" top="0.5" bottom="0.5" header="0.5" footer="0.5"/>
  <pageSetup fitToWidth="2" horizontalDpi="600" verticalDpi="600" orientation="landscape" scale="6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2007-09-10T23:34:16Z</cp:lastPrinted>
  <dcterms:created xsi:type="dcterms:W3CDTF">2005-08-08T20:55:58Z</dcterms:created>
  <dcterms:modified xsi:type="dcterms:W3CDTF">2007-09-12T17:47:28Z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