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<sst xmlns="http://schemas.openxmlformats.org/spreadsheetml/2006/main" count="90" uniqueCount="88">
  <si>
    <t>DRTS 2005 TONS BY JURISDICTION SUMMARY</t>
  </si>
  <si>
    <t>AS OF DECEMBER 31, 2005</t>
  </si>
  <si>
    <t>CITY OR JURISDICTION</t>
  </si>
  <si>
    <t>UNINCORPORATED SPECIFICS</t>
  </si>
  <si>
    <t>TOTAL TONS - WEIGHED LOADS</t>
  </si>
  <si>
    <t># FLAT RATE LOADS</t>
  </si>
  <si>
    <t>FLAT RATE LOADS CALC*</t>
  </si>
  <si>
    <t>TOTAL TONS/JURISDICTION</t>
  </si>
  <si>
    <t>AMERICAN CANYON</t>
  </si>
  <si>
    <t>NAPA, CITY</t>
  </si>
  <si>
    <t>UNINCORPORATED NAPA</t>
  </si>
  <si>
    <t>NAPA COUNTY</t>
  </si>
  <si>
    <t>VALLEJO</t>
  </si>
  <si>
    <t>SUBTOTAL</t>
  </si>
  <si>
    <t>ALAMEDA, CITY</t>
  </si>
  <si>
    <t>ALBANY</t>
  </si>
  <si>
    <t>ANTIOCH</t>
  </si>
  <si>
    <t>BENICIA</t>
  </si>
  <si>
    <t>BERKELEY</t>
  </si>
  <si>
    <t>BRENTWOOD</t>
  </si>
  <si>
    <t>CALISTOGA</t>
  </si>
  <si>
    <t>CONCORD</t>
  </si>
  <si>
    <t>CORTE MADERA</t>
  </si>
  <si>
    <t>DALY CITY</t>
  </si>
  <si>
    <t>DANVILLE</t>
  </si>
  <si>
    <t>DIXON</t>
  </si>
  <si>
    <t>EL CERRITO</t>
  </si>
  <si>
    <t>FAIRFAX</t>
  </si>
  <si>
    <t>FAIRFIELD</t>
  </si>
  <si>
    <t>FORT BRAGG</t>
  </si>
  <si>
    <t>FREMONT</t>
  </si>
  <si>
    <t>HAYWARD</t>
  </si>
  <si>
    <t>HERCULES</t>
  </si>
  <si>
    <t>HILLSBOROUGH</t>
  </si>
  <si>
    <t>LAFAYETTE</t>
  </si>
  <si>
    <t>MARIN COUNTY</t>
  </si>
  <si>
    <t>MARTINEZ</t>
  </si>
  <si>
    <t>MORAGA</t>
  </si>
  <si>
    <t>NOVATO</t>
  </si>
  <si>
    <t>OAKLAND</t>
  </si>
  <si>
    <t>ORINDA</t>
  </si>
  <si>
    <t>PETALUMA</t>
  </si>
  <si>
    <t>PIEDMONT</t>
  </si>
  <si>
    <t>PINOLE</t>
  </si>
  <si>
    <t>PITTSBURG</t>
  </si>
  <si>
    <t>PLEASANT HILL</t>
  </si>
  <si>
    <t>PLEASANTON</t>
  </si>
  <si>
    <t>RICHMOND</t>
  </si>
  <si>
    <t>RIO VISTA</t>
  </si>
  <si>
    <t>ROHNERT PARK</t>
  </si>
  <si>
    <t>S SAN FRANCISCO</t>
  </si>
  <si>
    <t>SACRAMENTO</t>
  </si>
  <si>
    <t>SAN ANSELMO</t>
  </si>
  <si>
    <t>SAN FRANCISCO</t>
  </si>
  <si>
    <t>SAN JOSE</t>
  </si>
  <si>
    <t>SAN LEANDRO</t>
  </si>
  <si>
    <t>SAN MATEO, CITY</t>
  </si>
  <si>
    <t>SAN PABLO</t>
  </si>
  <si>
    <t>SAN RAFAEL</t>
  </si>
  <si>
    <t>SAN RAMON</t>
  </si>
  <si>
    <t>SANTA ROSA</t>
  </si>
  <si>
    <t>SEBASTOPOL</t>
  </si>
  <si>
    <t>SOLANO COUNTY</t>
  </si>
  <si>
    <t>SONOMA, CITY</t>
  </si>
  <si>
    <t>ST HELENA</t>
  </si>
  <si>
    <t>SUISUN, CITY</t>
  </si>
  <si>
    <t>TRACY</t>
  </si>
  <si>
    <t>UNION CITY</t>
  </si>
  <si>
    <t>WALNUT CREEK</t>
  </si>
  <si>
    <t>WINDSOR</t>
  </si>
  <si>
    <t>YOUNTVILLE</t>
  </si>
  <si>
    <t>UNINCORPORATED CONTRA COSTA</t>
  </si>
  <si>
    <t>ALAMO</t>
  </si>
  <si>
    <t>BAY POINT</t>
  </si>
  <si>
    <t>CROCKETT</t>
  </si>
  <si>
    <t>EL SOBRANTE</t>
  </si>
  <si>
    <t>OAKLEY</t>
  </si>
  <si>
    <t>PACHECO</t>
  </si>
  <si>
    <t>RODEO</t>
  </si>
  <si>
    <t>OAKVILLE</t>
  </si>
  <si>
    <t>UNINCORPORATED SOLANO</t>
  </si>
  <si>
    <t>CORDELIA</t>
  </si>
  <si>
    <t>MARE ISLAND</t>
  </si>
  <si>
    <t>UNINCORPORATED YOLO</t>
  </si>
  <si>
    <t>DAVIS</t>
  </si>
  <si>
    <t>WOODLAND</t>
  </si>
  <si>
    <t xml:space="preserve">GRAND TOTAL </t>
  </si>
  <si>
    <t>* CALCULATION BASED ON 1.5 CY PER LOAD AND 4.617 TONS/CY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</si>
</sst>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15" applyNumberFormat="1" applyAlignment="1">
      <alignment/>
    </xf>
    <xf numFmtId="164" fontId="1" fillId="0" borderId="0" xfId="15" applyNumberFormat="1" applyFont="1" applyAlignment="1">
      <alignment/>
    </xf>
    <xf numFmtId="164" fontId="1" fillId="0" borderId="0" xfId="15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164" fontId="0" fillId="0" borderId="1" xfId="15" applyNumberFormat="1" applyBorder="1" applyAlignment="1">
      <alignment/>
    </xf>
    <xf numFmtId="0" fontId="0" fillId="0" borderId="0" xfId="0" applyBorder="1" applyAlignment="1">
      <alignment/>
    </xf>
    <xf numFmtId="164" fontId="0" fillId="0" borderId="0" xfId="15" applyNumberFormat="1" applyBorder="1" applyAlignment="1">
      <alignment/>
    </xf>
    <xf numFmtId="0" fontId="0" fillId="0" borderId="0" xfId="0" applyFill="1" applyBorder="1" applyAlignment="1">
      <alignment/>
    </xf>
    <xf numFmtId="10" fontId="0" fillId="0" borderId="0" xfId="19" applyNumberFormat="1" applyAlignment="1">
      <alignment/>
    </xf>
    <xf numFmtId="10" fontId="1" fillId="0" borderId="0" xfId="19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="60" zoomScaleNormal="75" workbookViewId="0" topLeftCell="A45">
      <selection activeCell="I56" sqref="I56"/>
    </sheetView>
  </sheetViews>
  <sheetFormatPr defaultColWidth="9.140625" defaultRowHeight="12.75"/>
  <cols>
    <col min="1" max="1" width="28.28125" style="0" customWidth="1"/>
    <col min="2" max="2" width="29.00390625" style="0" bestFit="1" customWidth="1"/>
    <col min="3" max="3" width="17.7109375" style="2" customWidth="1"/>
    <col min="4" max="4" width="14.421875" style="0" customWidth="1"/>
    <col min="5" max="5" width="18.57421875" style="2" customWidth="1"/>
    <col min="6" max="6" width="21.00390625" style="2" customWidth="1"/>
  </cols>
  <sheetData>
    <row r="1" ht="12.75">
      <c r="A1" s="1" t="s">
        <v>0</v>
      </c>
    </row>
    <row r="2" spans="1:5" s="1" customFormat="1" ht="12.75">
      <c r="A2" s="1" t="s">
        <v>1</v>
      </c>
      <c r="C2" s="3"/>
      <c r="E2" s="3"/>
    </row>
    <row r="3" ht="12.75">
      <c r="F3" s="3"/>
    </row>
    <row r="4" spans="1:6" s="1" customFormat="1" ht="25.5">
      <c r="A4" s="1" t="s">
        <v>2</v>
      </c>
      <c r="B4" s="1" t="s">
        <v>3</v>
      </c>
      <c r="C4" s="4" t="s">
        <v>4</v>
      </c>
      <c r="D4" s="5" t="s">
        <v>5</v>
      </c>
      <c r="E4" s="4" t="s">
        <v>6</v>
      </c>
      <c r="F4" s="4" t="s">
        <v>7</v>
      </c>
    </row>
    <row r="5" spans="1:7" ht="12.75">
      <c r="A5" t="s">
        <v>8</v>
      </c>
      <c r="C5" s="2">
        <f>3878.31+4274.84+5010.93+4169.7</f>
        <v>17333.78</v>
      </c>
      <c r="D5">
        <f>499+689+792+489</f>
        <v>2469</v>
      </c>
      <c r="E5" s="2">
        <f>(D5*1.5)/4.617</f>
        <v>802.1442495126705</v>
      </c>
      <c r="F5" s="2">
        <f>E5+C5</f>
        <v>18135.92424951267</v>
      </c>
      <c r="G5" s="11">
        <f>F5/F9</f>
        <v>0.07493975055074417</v>
      </c>
    </row>
    <row r="6" spans="1:7" ht="12.75">
      <c r="A6" t="s">
        <v>9</v>
      </c>
      <c r="C6" s="2">
        <f>18286.01+22965.63+25094.6+20455.06+5897</f>
        <v>92698.29999999999</v>
      </c>
      <c r="D6">
        <f>2697+3674+3564+2700</f>
        <v>12635</v>
      </c>
      <c r="E6" s="2">
        <f>(D6*1.5)/4.617</f>
        <v>4104.938271604939</v>
      </c>
      <c r="F6" s="2">
        <f>E6+C6</f>
        <v>96803.23827160493</v>
      </c>
      <c r="G6" s="11">
        <f>F6/F9</f>
        <v>0.4000022512650966</v>
      </c>
    </row>
    <row r="7" spans="1:7" ht="12.75">
      <c r="A7" t="s">
        <v>10</v>
      </c>
      <c r="B7" t="s">
        <v>11</v>
      </c>
      <c r="C7" s="2">
        <f>4081.7+3342.27+2611.15+3391.67</f>
        <v>13426.789999999999</v>
      </c>
      <c r="D7">
        <f>8+11+8+6</f>
        <v>33</v>
      </c>
      <c r="E7" s="2">
        <f>(D7*1.5)/4.617</f>
        <v>10.721247563352826</v>
      </c>
      <c r="F7" s="2">
        <f>E7+C7</f>
        <v>13437.511247563352</v>
      </c>
      <c r="G7" s="11">
        <f>F7/F9</f>
        <v>0.05552536099406546</v>
      </c>
    </row>
    <row r="8" spans="1:7" ht="12.75">
      <c r="A8" s="6" t="s">
        <v>12</v>
      </c>
      <c r="B8" s="6"/>
      <c r="C8" s="7">
        <f>23665.7+26301.08+27330.3+24807+5897</f>
        <v>108001.08</v>
      </c>
      <c r="D8" s="6">
        <f>3375+5073+4968+3910</f>
        <v>17326</v>
      </c>
      <c r="E8" s="7">
        <f>(D8*1.5)/4.617</f>
        <v>5628.9798570500325</v>
      </c>
      <c r="F8" s="7">
        <f>E8+C8</f>
        <v>113630.05985705003</v>
      </c>
      <c r="G8" s="11">
        <f>F8/F9</f>
        <v>0.46953263719009386</v>
      </c>
    </row>
    <row r="9" spans="1:6" s="1" customFormat="1" ht="12.75">
      <c r="A9" s="1" t="s">
        <v>13</v>
      </c>
      <c r="C9" s="4"/>
      <c r="D9" s="5"/>
      <c r="E9" s="4"/>
      <c r="F9" s="4">
        <f>SUM(F5:F8)</f>
        <v>242006.73362573097</v>
      </c>
    </row>
    <row r="10" spans="3:6" s="1" customFormat="1" ht="12.75">
      <c r="C10" s="4"/>
      <c r="D10" s="5"/>
      <c r="E10" s="4"/>
      <c r="F10" s="4"/>
    </row>
    <row r="11" spans="1:6" ht="12.75">
      <c r="A11" t="s">
        <v>14</v>
      </c>
      <c r="C11" s="2">
        <f>2.13+0.2</f>
        <v>2.33</v>
      </c>
      <c r="D11">
        <f>1</f>
        <v>1</v>
      </c>
      <c r="E11" s="2">
        <f>(D11*1.5)/4.617</f>
        <v>0.3248862897985705</v>
      </c>
      <c r="F11" s="2">
        <f>E11+C11</f>
        <v>2.6548862897985703</v>
      </c>
    </row>
    <row r="12" spans="1:6" ht="12.75">
      <c r="A12" t="s">
        <v>15</v>
      </c>
      <c r="C12" s="2">
        <f>0.64</f>
        <v>0.64</v>
      </c>
      <c r="E12" s="2">
        <f aca="true" t="shared" si="0" ref="E12:E75">(D12*1.5)/4.617</f>
        <v>0</v>
      </c>
      <c r="F12" s="2">
        <f aca="true" t="shared" si="1" ref="F12:F75">E12+C12</f>
        <v>0.64</v>
      </c>
    </row>
    <row r="13" spans="1:6" ht="12.75">
      <c r="A13" t="s">
        <v>16</v>
      </c>
      <c r="C13" s="2">
        <f>0.41+0.26+2.44</f>
        <v>3.11</v>
      </c>
      <c r="D13">
        <f>1+1</f>
        <v>2</v>
      </c>
      <c r="E13" s="2">
        <f t="shared" si="0"/>
        <v>0.649772579597141</v>
      </c>
      <c r="F13" s="2">
        <f t="shared" si="1"/>
        <v>3.759772579597141</v>
      </c>
    </row>
    <row r="14" spans="1:6" ht="12.75">
      <c r="A14" t="s">
        <v>17</v>
      </c>
      <c r="C14" s="2">
        <f>600.75+674.34+687.34+619.41</f>
        <v>2581.84</v>
      </c>
      <c r="D14">
        <f>231+305+276+230</f>
        <v>1042</v>
      </c>
      <c r="E14" s="2">
        <f t="shared" si="0"/>
        <v>338.53151397011044</v>
      </c>
      <c r="F14" s="2">
        <f t="shared" si="1"/>
        <v>2920.3715139701108</v>
      </c>
    </row>
    <row r="15" spans="1:6" ht="12.75">
      <c r="A15" t="s">
        <v>18</v>
      </c>
      <c r="C15" s="2">
        <f>15.95+12.51+2.43</f>
        <v>30.89</v>
      </c>
      <c r="D15">
        <f>1</f>
        <v>1</v>
      </c>
      <c r="E15" s="2">
        <f t="shared" si="0"/>
        <v>0.3248862897985705</v>
      </c>
      <c r="F15" s="2">
        <f t="shared" si="1"/>
        <v>31.21488628979857</v>
      </c>
    </row>
    <row r="16" spans="1:6" ht="12.75">
      <c r="A16" t="s">
        <v>19</v>
      </c>
      <c r="C16" s="2">
        <f>1.01</f>
        <v>1.01</v>
      </c>
      <c r="E16" s="2">
        <f t="shared" si="0"/>
        <v>0</v>
      </c>
      <c r="F16" s="2">
        <f t="shared" si="1"/>
        <v>1.01</v>
      </c>
    </row>
    <row r="17" spans="1:6" ht="12.75">
      <c r="A17" t="s">
        <v>20</v>
      </c>
      <c r="C17" s="2">
        <f>2.27+1.52+17.96+3.38</f>
        <v>25.13</v>
      </c>
      <c r="D17">
        <f>2+3+2</f>
        <v>7</v>
      </c>
      <c r="E17" s="2">
        <f t="shared" si="0"/>
        <v>2.2742040285899936</v>
      </c>
      <c r="F17" s="2">
        <f t="shared" si="1"/>
        <v>27.404204028589994</v>
      </c>
    </row>
    <row r="18" spans="1:6" ht="12.75">
      <c r="A18" t="s">
        <v>21</v>
      </c>
      <c r="C18" s="2">
        <f>33.6+29.59+35.97+25.39</f>
        <v>124.55</v>
      </c>
      <c r="D18">
        <f>3+1+1</f>
        <v>5</v>
      </c>
      <c r="E18" s="2">
        <f t="shared" si="0"/>
        <v>1.6244314489928524</v>
      </c>
      <c r="F18" s="2">
        <f t="shared" si="1"/>
        <v>126.17443144899285</v>
      </c>
    </row>
    <row r="19" spans="1:6" ht="12.75">
      <c r="A19" t="s">
        <v>22</v>
      </c>
      <c r="C19" s="2">
        <f>2.65</f>
        <v>2.65</v>
      </c>
      <c r="E19" s="2">
        <f t="shared" si="0"/>
        <v>0</v>
      </c>
      <c r="F19" s="2">
        <f t="shared" si="1"/>
        <v>2.65</v>
      </c>
    </row>
    <row r="20" spans="1:6" ht="12.75">
      <c r="A20" t="s">
        <v>23</v>
      </c>
      <c r="C20" s="2">
        <f>34.26+7.46</f>
        <v>41.72</v>
      </c>
      <c r="E20" s="2">
        <f t="shared" si="0"/>
        <v>0</v>
      </c>
      <c r="F20" s="2">
        <f>E20+C20</f>
        <v>41.72</v>
      </c>
    </row>
    <row r="21" spans="1:6" ht="12.75">
      <c r="A21" t="s">
        <v>24</v>
      </c>
      <c r="C21" s="2">
        <f>1.64+1.15</f>
        <v>2.79</v>
      </c>
      <c r="D21">
        <f>1</f>
        <v>1</v>
      </c>
      <c r="E21" s="2">
        <f t="shared" si="0"/>
        <v>0.3248862897985705</v>
      </c>
      <c r="F21" s="2">
        <f t="shared" si="1"/>
        <v>3.1148862897985703</v>
      </c>
    </row>
    <row r="22" spans="1:6" ht="12.75">
      <c r="A22" t="s">
        <v>25</v>
      </c>
      <c r="D22">
        <f>1</f>
        <v>1</v>
      </c>
      <c r="E22" s="2">
        <f t="shared" si="0"/>
        <v>0.3248862897985705</v>
      </c>
      <c r="F22" s="2">
        <f t="shared" si="1"/>
        <v>0.3248862897985705</v>
      </c>
    </row>
    <row r="23" spans="1:6" ht="12.75">
      <c r="A23" t="s">
        <v>26</v>
      </c>
      <c r="C23" s="2">
        <f>4.72+9.56+36.26+12.65</f>
        <v>63.19</v>
      </c>
      <c r="E23" s="2">
        <f t="shared" si="0"/>
        <v>0</v>
      </c>
      <c r="F23" s="2">
        <f t="shared" si="1"/>
        <v>63.19</v>
      </c>
    </row>
    <row r="24" spans="1:6" ht="12.75">
      <c r="A24" t="s">
        <v>27</v>
      </c>
      <c r="C24" s="2">
        <f>0.37+0.77</f>
        <v>1.1400000000000001</v>
      </c>
      <c r="E24" s="2">
        <f t="shared" si="0"/>
        <v>0</v>
      </c>
      <c r="F24" s="2">
        <f>E24+C24</f>
        <v>1.1400000000000001</v>
      </c>
    </row>
    <row r="25" spans="1:6" ht="12.75">
      <c r="A25" t="s">
        <v>28</v>
      </c>
      <c r="C25" s="2">
        <f>129.16+110.47+83.92+105.71</f>
        <v>429.26</v>
      </c>
      <c r="D25">
        <f>17+36+33+32</f>
        <v>118</v>
      </c>
      <c r="E25" s="2">
        <f t="shared" si="0"/>
        <v>38.33658219623132</v>
      </c>
      <c r="F25" s="2">
        <f t="shared" si="1"/>
        <v>467.59658219623134</v>
      </c>
    </row>
    <row r="26" spans="1:6" ht="12.75">
      <c r="A26" t="s">
        <v>29</v>
      </c>
      <c r="C26" s="2">
        <f>0.72</f>
        <v>0.72</v>
      </c>
      <c r="E26" s="2">
        <f t="shared" si="0"/>
        <v>0</v>
      </c>
      <c r="F26" s="2">
        <f>E26+C26</f>
        <v>0.72</v>
      </c>
    </row>
    <row r="27" spans="1:6" ht="12.75">
      <c r="A27" t="s">
        <v>30</v>
      </c>
      <c r="C27" s="2">
        <f>0.28</f>
        <v>0.28</v>
      </c>
      <c r="E27" s="2">
        <f t="shared" si="0"/>
        <v>0</v>
      </c>
      <c r="F27" s="2">
        <f t="shared" si="1"/>
        <v>0.28</v>
      </c>
    </row>
    <row r="28" spans="1:6" ht="12.75">
      <c r="A28" t="s">
        <v>31</v>
      </c>
      <c r="C28" s="2">
        <f>3.16+2.17+8.29+9.2</f>
        <v>22.82</v>
      </c>
      <c r="D28">
        <f>1</f>
        <v>1</v>
      </c>
      <c r="E28" s="2">
        <f t="shared" si="0"/>
        <v>0.3248862897985705</v>
      </c>
      <c r="F28" s="2">
        <f t="shared" si="1"/>
        <v>23.14488628979857</v>
      </c>
    </row>
    <row r="29" spans="1:6" ht="12.75">
      <c r="A29" t="s">
        <v>32</v>
      </c>
      <c r="C29" s="2">
        <f>2.4+7.27+14+6.25</f>
        <v>29.92</v>
      </c>
      <c r="D29">
        <f>1+7</f>
        <v>8</v>
      </c>
      <c r="E29" s="2">
        <f t="shared" si="0"/>
        <v>2.599090318388564</v>
      </c>
      <c r="F29" s="2">
        <f t="shared" si="1"/>
        <v>32.519090318388564</v>
      </c>
    </row>
    <row r="30" spans="1:6" ht="12.75">
      <c r="A30" t="s">
        <v>33</v>
      </c>
      <c r="C30" s="2">
        <f>1.68</f>
        <v>1.68</v>
      </c>
      <c r="E30" s="2">
        <f t="shared" si="0"/>
        <v>0</v>
      </c>
      <c r="F30" s="2">
        <f>E30+C30</f>
        <v>1.68</v>
      </c>
    </row>
    <row r="31" spans="1:6" ht="12.75">
      <c r="A31" t="s">
        <v>34</v>
      </c>
      <c r="C31" s="2">
        <f>6.5+2.1+1.47</f>
        <v>10.07</v>
      </c>
      <c r="E31" s="2">
        <f t="shared" si="0"/>
        <v>0</v>
      </c>
      <c r="F31" s="2">
        <f t="shared" si="1"/>
        <v>10.07</v>
      </c>
    </row>
    <row r="32" spans="1:6" ht="12.75">
      <c r="A32" t="s">
        <v>35</v>
      </c>
      <c r="C32" s="2">
        <f>34.65+1.59</f>
        <v>36.24</v>
      </c>
      <c r="D32">
        <f>1</f>
        <v>1</v>
      </c>
      <c r="E32" s="2">
        <f t="shared" si="0"/>
        <v>0.3248862897985705</v>
      </c>
      <c r="F32" s="2">
        <f>E32+C32</f>
        <v>36.56488628979857</v>
      </c>
    </row>
    <row r="33" spans="1:6" ht="12.75">
      <c r="A33" t="s">
        <v>36</v>
      </c>
      <c r="C33" s="2">
        <f>16.65+2.51+8.39+3.66</f>
        <v>31.209999999999997</v>
      </c>
      <c r="D33">
        <f>2+1</f>
        <v>3</v>
      </c>
      <c r="E33" s="2">
        <f t="shared" si="0"/>
        <v>0.9746588693957116</v>
      </c>
      <c r="F33" s="2">
        <f t="shared" si="1"/>
        <v>32.18465886939571</v>
      </c>
    </row>
    <row r="34" spans="1:6" ht="12.75">
      <c r="A34" t="s">
        <v>37</v>
      </c>
      <c r="C34" s="2">
        <f>6.43+15.36+3.07+19.02</f>
        <v>43.879999999999995</v>
      </c>
      <c r="E34" s="2">
        <f t="shared" si="0"/>
        <v>0</v>
      </c>
      <c r="F34" s="2">
        <f t="shared" si="1"/>
        <v>43.879999999999995</v>
      </c>
    </row>
    <row r="35" spans="1:6" ht="12.75">
      <c r="A35" t="s">
        <v>38</v>
      </c>
      <c r="C35" s="2">
        <f>334.07+314.76+272.2+171.14</f>
        <v>1092.17</v>
      </c>
      <c r="D35">
        <f>1+1</f>
        <v>2</v>
      </c>
      <c r="E35" s="2">
        <f t="shared" si="0"/>
        <v>0.649772579597141</v>
      </c>
      <c r="F35" s="2">
        <f t="shared" si="1"/>
        <v>1092.8197725795972</v>
      </c>
    </row>
    <row r="36" spans="1:6" ht="12.75">
      <c r="A36" t="s">
        <v>39</v>
      </c>
      <c r="C36" s="2">
        <f>64.72+17.06+8.72+17.91</f>
        <v>108.41</v>
      </c>
      <c r="D36">
        <f>1+1</f>
        <v>2</v>
      </c>
      <c r="E36" s="2">
        <f t="shared" si="0"/>
        <v>0.649772579597141</v>
      </c>
      <c r="F36" s="2">
        <f t="shared" si="1"/>
        <v>109.05977257959714</v>
      </c>
    </row>
    <row r="37" spans="1:6" ht="12.75">
      <c r="A37" t="s">
        <v>40</v>
      </c>
      <c r="C37" s="2">
        <f>4.29+5.6+4.34+7.73</f>
        <v>21.96</v>
      </c>
      <c r="E37" s="2">
        <f t="shared" si="0"/>
        <v>0</v>
      </c>
      <c r="F37" s="2">
        <f t="shared" si="1"/>
        <v>21.96</v>
      </c>
    </row>
    <row r="38" spans="1:6" ht="12.75">
      <c r="A38" t="s">
        <v>41</v>
      </c>
      <c r="C38" s="2">
        <f>9.14+6.93+2.91+20.55</f>
        <v>39.53</v>
      </c>
      <c r="D38">
        <f>1</f>
        <v>1</v>
      </c>
      <c r="E38" s="2">
        <f t="shared" si="0"/>
        <v>0.3248862897985705</v>
      </c>
      <c r="F38" s="2">
        <f t="shared" si="1"/>
        <v>39.85488628979857</v>
      </c>
    </row>
    <row r="39" spans="1:6" ht="12.75">
      <c r="A39" t="s">
        <v>42</v>
      </c>
      <c r="C39" s="2">
        <f>0.41+0.58+0.41</f>
        <v>1.4</v>
      </c>
      <c r="E39" s="2">
        <f t="shared" si="0"/>
        <v>0</v>
      </c>
      <c r="F39" s="2">
        <f>E39+C39</f>
        <v>1.4</v>
      </c>
    </row>
    <row r="40" spans="1:6" ht="12.75">
      <c r="A40" t="s">
        <v>43</v>
      </c>
      <c r="C40" s="2">
        <f>16.88+6.09+3.42+0.4</f>
        <v>26.79</v>
      </c>
      <c r="D40">
        <f>3+2+3</f>
        <v>8</v>
      </c>
      <c r="E40" s="2">
        <f t="shared" si="0"/>
        <v>2.599090318388564</v>
      </c>
      <c r="F40" s="2">
        <f t="shared" si="1"/>
        <v>29.38909031838856</v>
      </c>
    </row>
    <row r="41" spans="1:6" ht="12.75">
      <c r="A41" t="s">
        <v>44</v>
      </c>
      <c r="C41" s="2">
        <f>10.06+5.66+3.92+0.16</f>
        <v>19.8</v>
      </c>
      <c r="E41" s="2">
        <f t="shared" si="0"/>
        <v>0</v>
      </c>
      <c r="F41" s="2">
        <f t="shared" si="1"/>
        <v>19.8</v>
      </c>
    </row>
    <row r="42" spans="1:6" ht="12.75">
      <c r="A42" t="s">
        <v>45</v>
      </c>
      <c r="C42" s="2">
        <f>0.24+3.89+0.22+4.72</f>
        <v>9.07</v>
      </c>
      <c r="E42" s="2">
        <f t="shared" si="0"/>
        <v>0</v>
      </c>
      <c r="F42" s="2">
        <f t="shared" si="1"/>
        <v>9.07</v>
      </c>
    </row>
    <row r="43" spans="1:6" ht="12.75">
      <c r="A43" t="s">
        <v>46</v>
      </c>
      <c r="C43" s="2">
        <f>0.83</f>
        <v>0.83</v>
      </c>
      <c r="D43">
        <v>1</v>
      </c>
      <c r="E43" s="2">
        <f t="shared" si="0"/>
        <v>0.3248862897985705</v>
      </c>
      <c r="F43" s="2">
        <f>E43+C43</f>
        <v>1.1548862897985703</v>
      </c>
    </row>
    <row r="44" spans="1:6" ht="12.75">
      <c r="A44" t="s">
        <v>47</v>
      </c>
      <c r="C44" s="2">
        <f>49.66+46.56+57.47+29.08</f>
        <v>182.76999999999998</v>
      </c>
      <c r="D44">
        <f>3+2</f>
        <v>5</v>
      </c>
      <c r="E44" s="2">
        <f t="shared" si="0"/>
        <v>1.6244314489928524</v>
      </c>
      <c r="F44" s="2">
        <f t="shared" si="1"/>
        <v>184.39443144899283</v>
      </c>
    </row>
    <row r="45" spans="1:6" ht="12.75">
      <c r="A45" t="s">
        <v>48</v>
      </c>
      <c r="C45" s="2">
        <f>4.53</f>
        <v>4.53</v>
      </c>
      <c r="E45" s="2">
        <f t="shared" si="0"/>
        <v>0</v>
      </c>
      <c r="F45" s="2">
        <f>E45+C45</f>
        <v>4.53</v>
      </c>
    </row>
    <row r="46" spans="1:6" ht="12.75">
      <c r="A46" t="s">
        <v>49</v>
      </c>
      <c r="C46" s="2">
        <f>0.7</f>
        <v>0.7</v>
      </c>
      <c r="E46" s="2">
        <f t="shared" si="0"/>
        <v>0</v>
      </c>
      <c r="F46" s="2">
        <f t="shared" si="1"/>
        <v>0.7</v>
      </c>
    </row>
    <row r="47" spans="1:6" ht="12.75">
      <c r="A47" t="s">
        <v>50</v>
      </c>
      <c r="C47" s="2">
        <f>3.44+1.43+1.42+1.26</f>
        <v>7.55</v>
      </c>
      <c r="D47">
        <f>4+1+1</f>
        <v>6</v>
      </c>
      <c r="E47" s="2">
        <f t="shared" si="0"/>
        <v>1.9493177387914231</v>
      </c>
      <c r="F47" s="2">
        <f t="shared" si="1"/>
        <v>9.499317738791422</v>
      </c>
    </row>
    <row r="48" spans="1:6" ht="12.75">
      <c r="A48" t="s">
        <v>51</v>
      </c>
      <c r="C48" s="2">
        <f>3.54+17.71+7.61+10.29+2.8+0.82</f>
        <v>42.769999999999996</v>
      </c>
      <c r="D48">
        <f>1+1+1+1</f>
        <v>4</v>
      </c>
      <c r="E48" s="2">
        <f t="shared" si="0"/>
        <v>1.299545159194282</v>
      </c>
      <c r="F48" s="2">
        <f t="shared" si="1"/>
        <v>44.06954515919428</v>
      </c>
    </row>
    <row r="49" spans="1:6" ht="12.75">
      <c r="A49" t="s">
        <v>52</v>
      </c>
      <c r="C49" s="2">
        <v>2.39</v>
      </c>
      <c r="E49" s="2">
        <f t="shared" si="0"/>
        <v>0</v>
      </c>
      <c r="F49" s="2">
        <f t="shared" si="1"/>
        <v>2.39</v>
      </c>
    </row>
    <row r="50" spans="1:6" ht="12.75">
      <c r="A50" t="s">
        <v>53</v>
      </c>
      <c r="C50" s="2">
        <f>5.43</f>
        <v>5.43</v>
      </c>
      <c r="D50">
        <f>1</f>
        <v>1</v>
      </c>
      <c r="E50" s="2">
        <f t="shared" si="0"/>
        <v>0.3248862897985705</v>
      </c>
      <c r="F50" s="2">
        <f t="shared" si="1"/>
        <v>5.75488628979857</v>
      </c>
    </row>
    <row r="51" spans="1:6" ht="12.75">
      <c r="A51" t="s">
        <v>54</v>
      </c>
      <c r="C51" s="2">
        <f>6.62+43.52+6.33</f>
        <v>56.47</v>
      </c>
      <c r="D51">
        <v>1</v>
      </c>
      <c r="E51" s="2">
        <f t="shared" si="0"/>
        <v>0.3248862897985705</v>
      </c>
      <c r="F51" s="2">
        <f t="shared" si="1"/>
        <v>56.79488628979857</v>
      </c>
    </row>
    <row r="52" spans="1:6" ht="12.75">
      <c r="A52" t="s">
        <v>55</v>
      </c>
      <c r="C52" s="2">
        <f>1.36</f>
        <v>1.36</v>
      </c>
      <c r="D52">
        <f>1</f>
        <v>1</v>
      </c>
      <c r="E52" s="2">
        <f t="shared" si="0"/>
        <v>0.3248862897985705</v>
      </c>
      <c r="F52" s="2">
        <f>E52+C52</f>
        <v>1.6848862897985706</v>
      </c>
    </row>
    <row r="53" spans="1:6" ht="12.75">
      <c r="A53" t="s">
        <v>56</v>
      </c>
      <c r="C53" s="2">
        <f>4.73+393.82+17.69+45.66</f>
        <v>461.9</v>
      </c>
      <c r="D53">
        <f>2+2+5+3</f>
        <v>12</v>
      </c>
      <c r="E53" s="2">
        <f t="shared" si="0"/>
        <v>3.8986354775828462</v>
      </c>
      <c r="F53" s="2">
        <f t="shared" si="1"/>
        <v>465.7986354775828</v>
      </c>
    </row>
    <row r="54" spans="1:6" ht="12.75">
      <c r="A54" t="s">
        <v>57</v>
      </c>
      <c r="C54" s="2">
        <f>4.96+13.1+12.79+5.48</f>
        <v>36.33</v>
      </c>
      <c r="D54">
        <f>1</f>
        <v>1</v>
      </c>
      <c r="E54" s="2">
        <f t="shared" si="0"/>
        <v>0.3248862897985705</v>
      </c>
      <c r="F54" s="2">
        <f t="shared" si="1"/>
        <v>36.65488628979857</v>
      </c>
    </row>
    <row r="55" spans="1:6" ht="12.75">
      <c r="A55" t="s">
        <v>58</v>
      </c>
      <c r="C55" s="2">
        <f>26.12+16.65+1.31</f>
        <v>44.08</v>
      </c>
      <c r="D55">
        <f>1</f>
        <v>1</v>
      </c>
      <c r="E55" s="2">
        <f t="shared" si="0"/>
        <v>0.3248862897985705</v>
      </c>
      <c r="F55" s="2">
        <f t="shared" si="1"/>
        <v>44.40488628979857</v>
      </c>
    </row>
    <row r="56" spans="1:6" ht="12.75">
      <c r="A56" t="s">
        <v>59</v>
      </c>
      <c r="C56" s="2">
        <f>0.59+5.25</f>
        <v>5.84</v>
      </c>
      <c r="E56" s="2">
        <f t="shared" si="0"/>
        <v>0</v>
      </c>
      <c r="F56" s="2">
        <f t="shared" si="1"/>
        <v>5.84</v>
      </c>
    </row>
    <row r="57" spans="1:6" ht="12.75">
      <c r="A57" t="s">
        <v>60</v>
      </c>
      <c r="C57" s="2">
        <f>3.53+9.62+31.43</f>
        <v>44.58</v>
      </c>
      <c r="D57">
        <f>1</f>
        <v>1</v>
      </c>
      <c r="E57" s="2">
        <f t="shared" si="0"/>
        <v>0.3248862897985705</v>
      </c>
      <c r="F57" s="2">
        <f t="shared" si="1"/>
        <v>44.90488628979857</v>
      </c>
    </row>
    <row r="58" spans="1:6" ht="12.75">
      <c r="A58" t="s">
        <v>61</v>
      </c>
      <c r="C58" s="2">
        <f>19.93</f>
        <v>19.93</v>
      </c>
      <c r="E58" s="2">
        <f t="shared" si="0"/>
        <v>0</v>
      </c>
      <c r="F58" s="2">
        <f t="shared" si="1"/>
        <v>19.93</v>
      </c>
    </row>
    <row r="59" spans="1:6" ht="12.75">
      <c r="A59" t="s">
        <v>62</v>
      </c>
      <c r="C59" s="2">
        <f>27.64+0.2+51+66.74</f>
        <v>145.57999999999998</v>
      </c>
      <c r="D59">
        <f>1+2</f>
        <v>3</v>
      </c>
      <c r="E59" s="2">
        <f t="shared" si="0"/>
        <v>0.9746588693957116</v>
      </c>
      <c r="F59" s="2">
        <f t="shared" si="1"/>
        <v>146.5546588693957</v>
      </c>
    </row>
    <row r="60" spans="1:6" ht="12.75">
      <c r="A60" t="s">
        <v>63</v>
      </c>
      <c r="C60" s="2">
        <f>17.58+39.02+28.98+34.24+1.76</f>
        <v>121.58</v>
      </c>
      <c r="D60">
        <f>3+1</f>
        <v>4</v>
      </c>
      <c r="E60" s="2">
        <f t="shared" si="0"/>
        <v>1.299545159194282</v>
      </c>
      <c r="F60" s="2">
        <f t="shared" si="1"/>
        <v>122.87954515919428</v>
      </c>
    </row>
    <row r="61" spans="1:6" ht="12.75">
      <c r="A61" t="s">
        <v>64</v>
      </c>
      <c r="C61" s="2">
        <f>50.55+16.68+58.81+20.1</f>
        <v>146.14</v>
      </c>
      <c r="D61">
        <f>10+5+5+5</f>
        <v>25</v>
      </c>
      <c r="E61" s="2">
        <f t="shared" si="0"/>
        <v>8.122157244964262</v>
      </c>
      <c r="F61" s="2">
        <f t="shared" si="1"/>
        <v>154.26215724496424</v>
      </c>
    </row>
    <row r="62" spans="1:6" ht="12.75">
      <c r="A62" t="s">
        <v>65</v>
      </c>
      <c r="C62" s="2">
        <f>99.81+86.84+60.6+75.99</f>
        <v>323.24</v>
      </c>
      <c r="D62">
        <f>2+2+4</f>
        <v>8</v>
      </c>
      <c r="E62" s="2">
        <f t="shared" si="0"/>
        <v>2.599090318388564</v>
      </c>
      <c r="F62" s="2">
        <f t="shared" si="1"/>
        <v>325.83909031838857</v>
      </c>
    </row>
    <row r="63" spans="1:6" ht="12.75">
      <c r="A63" t="s">
        <v>66</v>
      </c>
      <c r="C63" s="2">
        <f>9.77+1.34</f>
        <v>11.11</v>
      </c>
      <c r="E63" s="2">
        <f t="shared" si="0"/>
        <v>0</v>
      </c>
      <c r="F63" s="2">
        <f>E63+C63</f>
        <v>11.11</v>
      </c>
    </row>
    <row r="64" spans="1:6" ht="12.75">
      <c r="A64" t="s">
        <v>67</v>
      </c>
      <c r="C64" s="2">
        <f>0.3</f>
        <v>0.3</v>
      </c>
      <c r="D64">
        <f>1</f>
        <v>1</v>
      </c>
      <c r="E64" s="2">
        <f t="shared" si="0"/>
        <v>0.3248862897985705</v>
      </c>
      <c r="F64" s="2">
        <f>E64+C64</f>
        <v>0.6248862897985705</v>
      </c>
    </row>
    <row r="65" spans="1:6" ht="12.75">
      <c r="A65" t="s">
        <v>68</v>
      </c>
      <c r="C65" s="2">
        <f>0.9+0.14+31.09</f>
        <v>32.13</v>
      </c>
      <c r="D65">
        <f>1</f>
        <v>1</v>
      </c>
      <c r="E65" s="2">
        <f t="shared" si="0"/>
        <v>0.3248862897985705</v>
      </c>
      <c r="F65" s="2">
        <f t="shared" si="1"/>
        <v>32.45488628979857</v>
      </c>
    </row>
    <row r="66" spans="1:6" ht="12.75">
      <c r="A66" t="s">
        <v>69</v>
      </c>
      <c r="C66" s="2">
        <f>28.98</f>
        <v>28.98</v>
      </c>
      <c r="E66" s="2">
        <f t="shared" si="0"/>
        <v>0</v>
      </c>
      <c r="F66" s="2">
        <f t="shared" si="1"/>
        <v>28.98</v>
      </c>
    </row>
    <row r="67" spans="1:6" ht="12.75">
      <c r="A67" t="s">
        <v>70</v>
      </c>
      <c r="C67" s="2">
        <f>83.84+61.18+112.91+99.89</f>
        <v>357.82</v>
      </c>
      <c r="D67">
        <f>14+16+19+21</f>
        <v>70</v>
      </c>
      <c r="E67" s="2">
        <f t="shared" si="0"/>
        <v>22.742040285899936</v>
      </c>
      <c r="F67" s="2">
        <f t="shared" si="1"/>
        <v>380.5620402858999</v>
      </c>
    </row>
    <row r="68" spans="1:6" ht="12.75">
      <c r="A68" t="s">
        <v>71</v>
      </c>
      <c r="B68" t="s">
        <v>72</v>
      </c>
      <c r="C68" s="2">
        <f>13.43+1.21+7.05+1.1</f>
        <v>22.790000000000003</v>
      </c>
      <c r="E68" s="2">
        <f t="shared" si="0"/>
        <v>0</v>
      </c>
      <c r="F68" s="2">
        <f t="shared" si="1"/>
        <v>22.790000000000003</v>
      </c>
    </row>
    <row r="69" spans="2:6" ht="12.75">
      <c r="B69" t="s">
        <v>73</v>
      </c>
      <c r="C69" s="2">
        <f>0.23+8.09+1.96+0.59</f>
        <v>10.870000000000001</v>
      </c>
      <c r="E69" s="2">
        <f t="shared" si="0"/>
        <v>0</v>
      </c>
      <c r="F69" s="2">
        <f>E69+C69</f>
        <v>10.870000000000001</v>
      </c>
    </row>
    <row r="70" spans="2:6" ht="12.75">
      <c r="B70" t="s">
        <v>74</v>
      </c>
      <c r="C70" s="2">
        <f>11.96+24.1+41.34+45.28</f>
        <v>122.68</v>
      </c>
      <c r="D70">
        <f>4+19+13+5</f>
        <v>41</v>
      </c>
      <c r="E70" s="2">
        <f t="shared" si="0"/>
        <v>13.320337881741391</v>
      </c>
      <c r="F70" s="2">
        <f t="shared" si="1"/>
        <v>136.0003378817414</v>
      </c>
    </row>
    <row r="71" spans="2:6" ht="12.75">
      <c r="B71" t="s">
        <v>75</v>
      </c>
      <c r="C71" s="2">
        <f>7.18+10.45+12.04</f>
        <v>29.669999999999998</v>
      </c>
      <c r="D71">
        <f>1</f>
        <v>1</v>
      </c>
      <c r="E71" s="2">
        <f t="shared" si="0"/>
        <v>0.3248862897985705</v>
      </c>
      <c r="F71" s="2">
        <f t="shared" si="1"/>
        <v>29.99488628979857</v>
      </c>
    </row>
    <row r="72" spans="2:6" ht="12.75">
      <c r="B72" t="s">
        <v>76</v>
      </c>
      <c r="C72" s="2">
        <f>3.98+4.3</f>
        <v>8.28</v>
      </c>
      <c r="E72" s="2">
        <f t="shared" si="0"/>
        <v>0</v>
      </c>
      <c r="F72" s="2">
        <f t="shared" si="1"/>
        <v>8.28</v>
      </c>
    </row>
    <row r="73" spans="2:6" ht="12.75">
      <c r="B73" t="s">
        <v>77</v>
      </c>
      <c r="C73" s="2">
        <f>0.8</f>
        <v>0.8</v>
      </c>
      <c r="D73">
        <f>1</f>
        <v>1</v>
      </c>
      <c r="E73" s="2">
        <f t="shared" si="0"/>
        <v>0.3248862897985705</v>
      </c>
      <c r="F73" s="2">
        <f>E73+C73</f>
        <v>1.1248862897985705</v>
      </c>
    </row>
    <row r="74" spans="2:6" ht="12.75">
      <c r="B74" t="s">
        <v>78</v>
      </c>
      <c r="C74" s="2">
        <f>38.6+25.02+39.48+52.67</f>
        <v>155.76999999999998</v>
      </c>
      <c r="D74">
        <f>7+10+16+9</f>
        <v>42</v>
      </c>
      <c r="E74" s="2">
        <f t="shared" si="0"/>
        <v>13.645224171539962</v>
      </c>
      <c r="F74" s="2">
        <f t="shared" si="1"/>
        <v>169.41522417153993</v>
      </c>
    </row>
    <row r="75" spans="1:6" ht="12.75">
      <c r="A75" t="s">
        <v>10</v>
      </c>
      <c r="B75" t="s">
        <v>79</v>
      </c>
      <c r="C75" s="2">
        <f>1.71+7.16+3.73+11.59</f>
        <v>24.19</v>
      </c>
      <c r="D75">
        <f>1+11</f>
        <v>12</v>
      </c>
      <c r="E75" s="2">
        <f t="shared" si="0"/>
        <v>3.8986354775828462</v>
      </c>
      <c r="F75" s="2">
        <f t="shared" si="1"/>
        <v>28.088635477582848</v>
      </c>
    </row>
    <row r="76" spans="1:6" ht="12.75">
      <c r="A76" t="s">
        <v>80</v>
      </c>
      <c r="B76" t="s">
        <v>81</v>
      </c>
      <c r="C76" s="2">
        <f>12.95+54.99+117.05+27.69</f>
        <v>212.68</v>
      </c>
      <c r="D76">
        <f>10+8+12+7</f>
        <v>37</v>
      </c>
      <c r="E76" s="2">
        <f>(D76*1.5)/4.617</f>
        <v>12.020792722547109</v>
      </c>
      <c r="F76" s="2">
        <f>E76+C76</f>
        <v>224.7007927225471</v>
      </c>
    </row>
    <row r="77" spans="1:7" ht="12.75">
      <c r="A77" s="8"/>
      <c r="B77" s="8" t="s">
        <v>82</v>
      </c>
      <c r="C77" s="9">
        <f>1.17+0.72+0.78+1.48</f>
        <v>4.15</v>
      </c>
      <c r="D77" s="8">
        <f>2+2+3</f>
        <v>7</v>
      </c>
      <c r="E77" s="9">
        <f>(D77*1.5)/4.617</f>
        <v>2.2742040285899936</v>
      </c>
      <c r="F77" s="9">
        <f>E77+C77</f>
        <v>6.424204028589994</v>
      </c>
      <c r="G77" s="8"/>
    </row>
    <row r="78" spans="1:6" ht="12.75">
      <c r="A78" s="10" t="s">
        <v>83</v>
      </c>
      <c r="B78" s="10" t="s">
        <v>84</v>
      </c>
      <c r="C78" s="9">
        <f>0.6+1.42+8.88</f>
        <v>10.9</v>
      </c>
      <c r="D78" s="8">
        <f>1</f>
        <v>1</v>
      </c>
      <c r="E78" s="9">
        <f>(D78*1.5)/4.617</f>
        <v>0.3248862897985705</v>
      </c>
      <c r="F78" s="9">
        <f>E78+C78</f>
        <v>11.22488628979857</v>
      </c>
    </row>
    <row r="79" spans="1:6" ht="12.75">
      <c r="A79" s="8"/>
      <c r="B79" s="10" t="s">
        <v>85</v>
      </c>
      <c r="C79" s="9">
        <f>1.01</f>
        <v>1.01</v>
      </c>
      <c r="D79" s="8">
        <f>1+1</f>
        <v>2</v>
      </c>
      <c r="E79" s="9">
        <f>(D79*1.5)/4.617</f>
        <v>0.649772579597141</v>
      </c>
      <c r="F79" s="9">
        <f>E79+C79</f>
        <v>1.659772579597141</v>
      </c>
    </row>
    <row r="80" spans="1:6" ht="12.75">
      <c r="A80" s="8"/>
      <c r="B80" s="8"/>
      <c r="C80" s="9"/>
      <c r="D80" s="8"/>
      <c r="E80" s="9"/>
      <c r="F80" s="9"/>
    </row>
    <row r="81" spans="1:7" s="1" customFormat="1" ht="12.75">
      <c r="A81" s="1" t="s">
        <v>13</v>
      </c>
      <c r="C81" s="3"/>
      <c r="E81" s="3"/>
      <c r="F81" s="3">
        <f>SUM(F11:F77)</f>
        <v>7966.825458089666</v>
      </c>
      <c r="G81" s="12">
        <f>F81/F83</f>
        <v>0.03187067259148895</v>
      </c>
    </row>
    <row r="83" spans="1:6" ht="12.75">
      <c r="A83" s="1" t="s">
        <v>86</v>
      </c>
      <c r="B83" s="1"/>
      <c r="C83" s="3"/>
      <c r="D83" s="1"/>
      <c r="E83" s="3"/>
      <c r="F83" s="3">
        <f>F81+F9</f>
        <v>249973.55908382064</v>
      </c>
    </row>
    <row r="85" spans="1:6" s="1" customFormat="1" ht="12.75">
      <c r="A85" s="1" t="s">
        <v>87</v>
      </c>
      <c r="C85" s="3"/>
      <c r="E85" s="3"/>
      <c r="F85" s="3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ALLIED WASTE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db00033</dc:creator>
  <cp:keywords/>
  <dc:description/>
  <cp:lastModifiedBy>tcave</cp:lastModifiedBy>
  <cp:lastPrinted>2006-07-21T20:04:39Z</cp:lastPrinted>
  <dcterms:created xsi:type="dcterms:W3CDTF">2006-07-20T17:57:24Z</dcterms:created>
  <dcterms:modified xsi:type="dcterms:W3CDTF">2006-07-21T20:06:06Z</dcterms:modified>
  <cp:category/>
  <cp:version/>
  <cp:contentType/>
  <cp:contentStatus/>
</cp:coreProperties>
</file>