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 windowWidth="12120" windowHeight="4770" activeTab="0"/>
  </bookViews>
  <sheets>
    <sheet name="ORIGIN SUMMARY 2" sheetId="1" r:id="rId1"/>
  </sheets>
  <definedNames/>
  <calcPr fullCalcOnLoad="1"/>
</workbook>
</file>

<file path=xl/sharedStrings.xml><?xml version="1.0" encoding="utf-8"?>
<sst xmlns="http://schemas.openxmlformats.org/spreadsheetml/2006/main" count="204" uniqueCount="114">
  <si>
    <t xml:space="preserve">C&amp;D  </t>
  </si>
  <si>
    <t>Grand Total</t>
  </si>
  <si>
    <t>FRANCHISE</t>
  </si>
  <si>
    <t>SELF-HAUL</t>
  </si>
  <si>
    <t>ALAMEDA</t>
  </si>
  <si>
    <t>CONTRA COSTA</t>
  </si>
  <si>
    <t>EL CERRITO</t>
  </si>
  <si>
    <t>HERCULES</t>
  </si>
  <si>
    <t>PINOLE</t>
  </si>
  <si>
    <t>RICHMOND</t>
  </si>
  <si>
    <t>SAN PABLO</t>
  </si>
  <si>
    <t>UNINCORPORATED CONTRA COSTA</t>
  </si>
  <si>
    <t>CROCKETT</t>
  </si>
  <si>
    <t>RODEO</t>
  </si>
  <si>
    <t>MARIN</t>
  </si>
  <si>
    <t>NOVATO</t>
  </si>
  <si>
    <t>SAN RAFAEL</t>
  </si>
  <si>
    <t>NAPA</t>
  </si>
  <si>
    <t>AMERICAN CANYON</t>
  </si>
  <si>
    <t>YOUNTVILLE</t>
  </si>
  <si>
    <t>SAN MATEO</t>
  </si>
  <si>
    <t>SOLANO</t>
  </si>
  <si>
    <t>FAIRFIELD</t>
  </si>
  <si>
    <t>SUISUN</t>
  </si>
  <si>
    <t>UNINCORPORATED SOLANO</t>
  </si>
  <si>
    <t>CORDELIA</t>
  </si>
  <si>
    <t>VALLEJO</t>
  </si>
  <si>
    <t>SONOMA</t>
  </si>
  <si>
    <t>PETALUMA</t>
  </si>
  <si>
    <t>COUNTY</t>
  </si>
  <si>
    <t>CITY</t>
  </si>
  <si>
    <t>UNINCORPORATED</t>
  </si>
  <si>
    <t>OF ORIGIN</t>
  </si>
  <si>
    <t>SPECIFICS</t>
  </si>
  <si>
    <t>TONS</t>
  </si>
  <si>
    <t>MSW</t>
  </si>
  <si>
    <t>ORIGIN</t>
  </si>
  <si>
    <t>PERCENTAGE</t>
  </si>
  <si>
    <t>HIDE COLUMN</t>
  </si>
  <si>
    <t>ALLOCATION OF</t>
  </si>
  <si>
    <t xml:space="preserve">TOTAL </t>
  </si>
  <si>
    <t>FLAT DUMP FEE USING</t>
  </si>
  <si>
    <t>TONS PER</t>
  </si>
  <si>
    <t>KELLER DISPOSAL</t>
  </si>
  <si>
    <t>JURISDICTION</t>
  </si>
  <si>
    <t>(A)</t>
  </si>
  <si>
    <t>(B)</t>
  </si>
  <si>
    <t xml:space="preserve"> (C )</t>
  </si>
  <si>
    <t>(D)</t>
  </si>
  <si>
    <t>(E)</t>
  </si>
  <si>
    <t>TOTAL</t>
  </si>
  <si>
    <t>NOTES:</t>
  </si>
  <si>
    <t>(A):  Tons come from Devlin Road report (based off of disposal tickets)</t>
  </si>
  <si>
    <t>(B):  Calculated by dividing each city's tons by total tons received in month.</t>
  </si>
  <si>
    <t>(C ): Flat Dump fee is converted to tons by taking the difference of Devlin Road tons received at Keller Canyon and the tons received at Devlin Road.  This delta is multiplied by (B) to allocate these tons to the appropriate jurisdiction.</t>
  </si>
  <si>
    <t>(D):  Calculated by adding (A) + (C ).</t>
  </si>
  <si>
    <t>(E):  Total tons reported to BOE by Keller Canyon Landfill including Non-MSW.</t>
  </si>
  <si>
    <t>HAYWARD</t>
  </si>
  <si>
    <t>CONCORD</t>
  </si>
  <si>
    <t>SAN RAMON</t>
  </si>
  <si>
    <t>EL SOBRANTE</t>
  </si>
  <si>
    <t>OAKLEY</t>
  </si>
  <si>
    <t>NAPA CITY</t>
  </si>
  <si>
    <t xml:space="preserve">UNINCORPORATED NAPA </t>
  </si>
  <si>
    <t>BENECIA</t>
  </si>
  <si>
    <t>MARE ISLAND</t>
  </si>
  <si>
    <t>C&amp; D RESIDUALS</t>
  </si>
  <si>
    <t>(F):  Amount of C&amp;D moved back into non-C&amp;D waste stream.</t>
  </si>
  <si>
    <t>(F)</t>
  </si>
  <si>
    <t>ALAMO</t>
  </si>
  <si>
    <t>BAY POINT</t>
  </si>
  <si>
    <t>MENDOCINO</t>
  </si>
  <si>
    <t>FORT BRAGG</t>
  </si>
  <si>
    <t>SACRAMENTO</t>
  </si>
  <si>
    <t>BERKELEY</t>
  </si>
  <si>
    <t>ANTIOCH</t>
  </si>
  <si>
    <t>MARTINEZ</t>
  </si>
  <si>
    <t>PITTSBURG</t>
  </si>
  <si>
    <t>CORTE MADERA</t>
  </si>
  <si>
    <t>CALISTOGA</t>
  </si>
  <si>
    <t>ST HELENA</t>
  </si>
  <si>
    <t>PLACER</t>
  </si>
  <si>
    <t>UNINCORPORATED PLACER</t>
  </si>
  <si>
    <t>ROSEVILLE</t>
  </si>
  <si>
    <t>DALY CITY</t>
  </si>
  <si>
    <t xml:space="preserve">C&amp;D </t>
  </si>
  <si>
    <t>C&amp;D</t>
  </si>
  <si>
    <t>ORIGIN SELF-HAUL</t>
  </si>
  <si>
    <t>ORIGIN FRANCHISE</t>
  </si>
  <si>
    <t>OAKLAND</t>
  </si>
  <si>
    <t>DANVILLE</t>
  </si>
  <si>
    <t>ORINDA</t>
  </si>
  <si>
    <t>WALNUT CREEK</t>
  </si>
  <si>
    <t>OAKVILLE</t>
  </si>
  <si>
    <t>SANTA CLARA</t>
  </si>
  <si>
    <t>SAN JOSE</t>
  </si>
  <si>
    <t>SANTA ROSA</t>
  </si>
  <si>
    <t>PER JURISDICTION</t>
  </si>
  <si>
    <t>ALBANY</t>
  </si>
  <si>
    <t>LAFAYETTE</t>
  </si>
  <si>
    <t>MORAGA</t>
  </si>
  <si>
    <t>SO. SAN FRANCISCO</t>
  </si>
  <si>
    <t>SEBASTOPOL</t>
  </si>
  <si>
    <t>WINDSOR</t>
  </si>
  <si>
    <t>JURIS ALLOC</t>
  </si>
  <si>
    <t>LESS RESIDUALS</t>
  </si>
  <si>
    <t>C&amp;D FRANCHISE</t>
  </si>
  <si>
    <t xml:space="preserve">RESIDUAL </t>
  </si>
  <si>
    <t>C&amp;D SELF HAUL</t>
  </si>
  <si>
    <t>RESIDUAL</t>
  </si>
  <si>
    <t xml:space="preserve">TOTAL TONS </t>
  </si>
  <si>
    <t>TOTAL C&amp;D TONS DIVERTED</t>
  </si>
  <si>
    <t>DEVLIN ROAD TRANSFER STATION</t>
  </si>
  <si>
    <t>C&amp;D FOR MONTH ENDED SEPTEMBER 30, 2005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</si>
</sst>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000000000"/>
    <numFmt numFmtId="172" formatCode="0.000000000"/>
    <numFmt numFmtId="173" formatCode="0.0"/>
  </numFmts>
  <fonts count="4">
    <font>
      <sz val="10"/>
      <name val="Arial"/>
      <family val="0"/>
    </font>
    <font>
      <b/>
      <sz val="10"/>
      <name val="Arial"/>
      <family val="2"/>
    </font>
    <font>
      <b/>
      <sz val="8"/>
      <name val="Arial"/>
      <family val="2"/>
    </font>
    <font>
      <b/>
      <sz val="12"/>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3" fontId="1" fillId="0" borderId="1" xfId="15" applyFont="1" applyBorder="1" applyAlignment="1">
      <alignment horizontal="center"/>
    </xf>
    <xf numFmtId="43" fontId="1" fillId="0" borderId="0" xfId="15" applyFont="1" applyBorder="1" applyAlignment="1">
      <alignment horizontal="center"/>
    </xf>
    <xf numFmtId="43" fontId="1" fillId="0" borderId="2" xfId="15" applyFont="1" applyBorder="1" applyAlignment="1">
      <alignment horizontal="center"/>
    </xf>
    <xf numFmtId="43" fontId="1" fillId="0" borderId="3" xfId="15" applyFont="1" applyBorder="1" applyAlignment="1">
      <alignment horizontal="center"/>
    </xf>
    <xf numFmtId="0" fontId="1" fillId="0" borderId="0" xfId="0" applyFont="1" applyAlignment="1">
      <alignment/>
    </xf>
    <xf numFmtId="9" fontId="1" fillId="0" borderId="1" xfId="19" applyFont="1" applyBorder="1" applyAlignment="1">
      <alignment horizontal="center"/>
    </xf>
    <xf numFmtId="9" fontId="1" fillId="0" borderId="2" xfId="19" applyFont="1" applyBorder="1" applyAlignment="1">
      <alignment horizontal="center"/>
    </xf>
    <xf numFmtId="9" fontId="1" fillId="0" borderId="3" xfId="19" applyFont="1" applyBorder="1" applyAlignment="1">
      <alignment horizontal="center"/>
    </xf>
    <xf numFmtId="0" fontId="1" fillId="2" borderId="0" xfId="0" applyFont="1" applyFill="1" applyAlignment="1">
      <alignment/>
    </xf>
    <xf numFmtId="9" fontId="0" fillId="0" borderId="0" xfId="19" applyAlignment="1">
      <alignment/>
    </xf>
    <xf numFmtId="10" fontId="0" fillId="0" borderId="0" xfId="19" applyNumberFormat="1" applyAlignment="1">
      <alignment/>
    </xf>
    <xf numFmtId="10" fontId="1" fillId="0" borderId="4" xfId="0" applyNumberFormat="1" applyFont="1" applyBorder="1" applyAlignment="1">
      <alignment/>
    </xf>
    <xf numFmtId="43" fontId="2" fillId="0" borderId="0" xfId="15" applyFont="1" applyAlignment="1">
      <alignment horizontal="center"/>
    </xf>
    <xf numFmtId="9" fontId="2" fillId="0" borderId="0" xfId="19" applyFont="1" applyAlignment="1">
      <alignment horizontal="center"/>
    </xf>
    <xf numFmtId="0" fontId="2" fillId="0" borderId="0" xfId="0" applyFont="1" applyAlignment="1">
      <alignment horizontal="center"/>
    </xf>
    <xf numFmtId="43" fontId="0" fillId="0" borderId="0" xfId="15" applyAlignment="1">
      <alignment/>
    </xf>
    <xf numFmtId="43" fontId="1" fillId="0" borderId="4" xfId="15" applyFont="1" applyBorder="1" applyAlignment="1">
      <alignment/>
    </xf>
    <xf numFmtId="43" fontId="1" fillId="0" borderId="0" xfId="15" applyFont="1" applyAlignment="1">
      <alignment/>
    </xf>
    <xf numFmtId="0" fontId="1" fillId="0" borderId="0" xfId="0" applyFont="1" applyFill="1" applyAlignment="1">
      <alignment/>
    </xf>
    <xf numFmtId="43" fontId="0" fillId="0" borderId="0" xfId="15" applyFont="1" applyAlignment="1">
      <alignment/>
    </xf>
    <xf numFmtId="43" fontId="0" fillId="0" borderId="0" xfId="0" applyNumberFormat="1" applyAlignment="1">
      <alignment/>
    </xf>
    <xf numFmtId="0" fontId="1" fillId="3" borderId="0" xfId="0" applyFont="1" applyFill="1" applyAlignment="1">
      <alignment/>
    </xf>
    <xf numFmtId="0" fontId="0" fillId="3" borderId="0" xfId="0" applyFill="1" applyAlignment="1">
      <alignment/>
    </xf>
    <xf numFmtId="43" fontId="1" fillId="0" borderId="2" xfId="15" applyFont="1" applyFill="1" applyBorder="1" applyAlignment="1">
      <alignment horizontal="center"/>
    </xf>
    <xf numFmtId="10" fontId="1" fillId="0" borderId="1" xfId="19" applyNumberFormat="1" applyFont="1" applyBorder="1" applyAlignment="1">
      <alignment horizontal="center"/>
    </xf>
    <xf numFmtId="10" fontId="1" fillId="0" borderId="2" xfId="19" applyNumberFormat="1" applyFont="1" applyBorder="1" applyAlignment="1">
      <alignment horizontal="center"/>
    </xf>
    <xf numFmtId="10" fontId="1" fillId="0" borderId="3" xfId="19" applyNumberFormat="1" applyFont="1" applyBorder="1" applyAlignment="1">
      <alignment horizontal="center"/>
    </xf>
    <xf numFmtId="10" fontId="1" fillId="0" borderId="0" xfId="19" applyNumberFormat="1" applyFont="1" applyAlignment="1">
      <alignment/>
    </xf>
    <xf numFmtId="10" fontId="1" fillId="0" borderId="4" xfId="19" applyNumberFormat="1" applyFont="1" applyBorder="1" applyAlignment="1">
      <alignment/>
    </xf>
    <xf numFmtId="2" fontId="0" fillId="0" borderId="0" xfId="0" applyNumberFormat="1" applyAlignment="1">
      <alignment/>
    </xf>
    <xf numFmtId="43" fontId="1" fillId="0" borderId="5" xfId="15" applyFont="1" applyFill="1" applyBorder="1" applyAlignment="1">
      <alignment horizontal="center"/>
    </xf>
    <xf numFmtId="10" fontId="1" fillId="0" borderId="6" xfId="19" applyNumberFormat="1" applyFont="1" applyBorder="1" applyAlignment="1">
      <alignment horizontal="center"/>
    </xf>
    <xf numFmtId="43" fontId="1" fillId="0" borderId="0" xfId="0" applyNumberFormat="1" applyFont="1" applyAlignment="1">
      <alignment/>
    </xf>
    <xf numFmtId="0" fontId="0" fillId="0" borderId="0" xfId="0" applyFill="1" applyAlignment="1">
      <alignment/>
    </xf>
    <xf numFmtId="43" fontId="0" fillId="0" borderId="0" xfId="0" applyNumberFormat="1" applyFill="1" applyAlignment="1">
      <alignment/>
    </xf>
    <xf numFmtId="10" fontId="0" fillId="0" borderId="0" xfId="19" applyNumberFormat="1" applyFill="1" applyAlignment="1">
      <alignment/>
    </xf>
    <xf numFmtId="0" fontId="2" fillId="0" borderId="0" xfId="0" applyFont="1" applyFill="1" applyAlignment="1">
      <alignment horizontal="center"/>
    </xf>
    <xf numFmtId="0" fontId="0" fillId="0" borderId="0" xfId="0" applyAlignment="1">
      <alignment wrapText="1"/>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0"/>
  <sheetViews>
    <sheetView tabSelected="1" zoomScale="75" zoomScaleNormal="75" workbookViewId="0" topLeftCell="A1">
      <selection activeCell="A2" sqref="A2:AA2"/>
    </sheetView>
  </sheetViews>
  <sheetFormatPr defaultColWidth="9.140625" defaultRowHeight="12.75"/>
  <cols>
    <col min="1" max="1" width="18.8515625" style="0" bestFit="1" customWidth="1"/>
    <col min="2" max="2" width="1.7109375" style="0" customWidth="1"/>
    <col min="3" max="3" width="34.00390625" style="0" bestFit="1" customWidth="1"/>
    <col min="4" max="4" width="2.8515625" style="0" customWidth="1"/>
    <col min="5" max="5" width="23.57421875" style="0" bestFit="1" customWidth="1"/>
    <col min="6" max="6" width="1.7109375" style="0" customWidth="1"/>
    <col min="7" max="7" width="19.57421875" style="0" hidden="1" customWidth="1"/>
    <col min="8" max="8" width="1.7109375" style="0" hidden="1" customWidth="1"/>
    <col min="9" max="9" width="14.8515625" style="0" hidden="1" customWidth="1"/>
    <col min="10" max="10" width="1.7109375" style="0" customWidth="1"/>
    <col min="11" max="11" width="15.57421875" style="0" customWidth="1"/>
    <col min="12" max="12" width="1.7109375" style="0" customWidth="1"/>
    <col min="13" max="13" width="14.8515625" style="0" customWidth="1"/>
    <col min="14" max="14" width="19.421875" style="0" customWidth="1"/>
    <col min="15" max="16" width="16.28125" style="0" hidden="1" customWidth="1"/>
    <col min="17" max="17" width="19.421875" style="0" customWidth="1"/>
    <col min="18" max="18" width="22.28125" style="0" customWidth="1"/>
    <col min="19" max="19" width="21.421875" style="11" customWidth="1"/>
    <col min="20" max="20" width="16.28125" style="0" hidden="1" customWidth="1"/>
    <col min="21" max="21" width="1.7109375" style="0" hidden="1" customWidth="1"/>
    <col min="22" max="22" width="27.57421875" style="0" hidden="1" customWidth="1"/>
    <col min="23" max="23" width="1.7109375" style="0" hidden="1" customWidth="1"/>
    <col min="24" max="24" width="18.00390625" style="0" hidden="1" customWidth="1"/>
    <col min="25" max="25" width="1.7109375" style="0" hidden="1" customWidth="1"/>
    <col min="26" max="26" width="28.140625" style="0" hidden="1" customWidth="1"/>
    <col min="27" max="27" width="31.7109375" style="0" bestFit="1" customWidth="1"/>
    <col min="28" max="28" width="12.28125" style="0" bestFit="1" customWidth="1"/>
  </cols>
  <sheetData>
    <row r="1" spans="1:27" ht="15.75">
      <c r="A1" s="39" t="s">
        <v>112</v>
      </c>
      <c r="B1" s="39"/>
      <c r="C1" s="39"/>
      <c r="D1" s="39"/>
      <c r="E1" s="39"/>
      <c r="F1" s="39"/>
      <c r="G1" s="39"/>
      <c r="H1" s="39"/>
      <c r="I1" s="39"/>
      <c r="J1" s="39"/>
      <c r="K1" s="39"/>
      <c r="L1" s="39"/>
      <c r="M1" s="39"/>
      <c r="N1" s="39"/>
      <c r="O1" s="39"/>
      <c r="P1" s="39"/>
      <c r="Q1" s="39"/>
      <c r="R1" s="39"/>
      <c r="S1" s="39"/>
      <c r="T1" s="39"/>
      <c r="U1" s="39"/>
      <c r="V1" s="39"/>
      <c r="W1" s="39"/>
      <c r="X1" s="39"/>
      <c r="Y1" s="39"/>
      <c r="Z1" s="39"/>
      <c r="AA1" s="39"/>
    </row>
    <row r="2" spans="1:27" ht="15.75">
      <c r="A2" s="39" t="s">
        <v>113</v>
      </c>
      <c r="B2" s="39"/>
      <c r="C2" s="39"/>
      <c r="D2" s="39"/>
      <c r="E2" s="39"/>
      <c r="F2" s="39"/>
      <c r="G2" s="39"/>
      <c r="H2" s="39"/>
      <c r="I2" s="39"/>
      <c r="J2" s="39"/>
      <c r="K2" s="39"/>
      <c r="L2" s="39"/>
      <c r="M2" s="39"/>
      <c r="N2" s="39"/>
      <c r="O2" s="39"/>
      <c r="P2" s="39"/>
      <c r="Q2" s="39"/>
      <c r="R2" s="39"/>
      <c r="S2" s="39"/>
      <c r="T2" s="39"/>
      <c r="U2" s="39"/>
      <c r="V2" s="39"/>
      <c r="W2" s="39"/>
      <c r="X2" s="39"/>
      <c r="Y2" s="39"/>
      <c r="Z2" s="39"/>
      <c r="AA2" s="39"/>
    </row>
    <row r="4" spans="1:27" ht="12.75">
      <c r="A4" s="1"/>
      <c r="B4" s="2"/>
      <c r="C4" s="1"/>
      <c r="D4" s="2"/>
      <c r="E4" s="1"/>
      <c r="G4" s="1" t="s">
        <v>2</v>
      </c>
      <c r="I4" s="1" t="s">
        <v>3</v>
      </c>
      <c r="K4" s="1" t="s">
        <v>2</v>
      </c>
      <c r="M4" s="1" t="s">
        <v>3</v>
      </c>
      <c r="N4" s="1" t="s">
        <v>106</v>
      </c>
      <c r="Q4" s="1" t="s">
        <v>108</v>
      </c>
      <c r="R4" s="25" t="s">
        <v>85</v>
      </c>
      <c r="S4" s="25" t="s">
        <v>85</v>
      </c>
      <c r="T4" s="6" t="s">
        <v>35</v>
      </c>
      <c r="V4" s="1" t="s">
        <v>39</v>
      </c>
      <c r="X4" s="1" t="s">
        <v>40</v>
      </c>
      <c r="Z4" s="1" t="s">
        <v>110</v>
      </c>
      <c r="AA4" s="25" t="s">
        <v>111</v>
      </c>
    </row>
    <row r="5" spans="1:27" ht="12.75">
      <c r="A5" s="3" t="s">
        <v>29</v>
      </c>
      <c r="B5" s="2"/>
      <c r="C5" s="3" t="s">
        <v>30</v>
      </c>
      <c r="D5" s="2"/>
      <c r="E5" s="3" t="s">
        <v>31</v>
      </c>
      <c r="G5" s="3" t="s">
        <v>35</v>
      </c>
      <c r="I5" s="3" t="s">
        <v>35</v>
      </c>
      <c r="K5" s="3" t="s">
        <v>0</v>
      </c>
      <c r="M5" s="3" t="s">
        <v>0</v>
      </c>
      <c r="N5" s="3" t="s">
        <v>107</v>
      </c>
      <c r="O5" s="24" t="s">
        <v>35</v>
      </c>
      <c r="P5" s="31" t="s">
        <v>86</v>
      </c>
      <c r="Q5" s="3" t="s">
        <v>109</v>
      </c>
      <c r="R5" s="32" t="s">
        <v>88</v>
      </c>
      <c r="S5" s="26" t="s">
        <v>87</v>
      </c>
      <c r="T5" s="7" t="s">
        <v>36</v>
      </c>
      <c r="V5" s="3" t="s">
        <v>41</v>
      </c>
      <c r="X5" s="3" t="s">
        <v>42</v>
      </c>
      <c r="Z5" s="3" t="s">
        <v>97</v>
      </c>
      <c r="AA5" s="26" t="s">
        <v>97</v>
      </c>
    </row>
    <row r="6" spans="1:27" ht="12.75">
      <c r="A6" s="4" t="s">
        <v>32</v>
      </c>
      <c r="B6" s="2"/>
      <c r="C6" s="4" t="s">
        <v>32</v>
      </c>
      <c r="D6" s="2"/>
      <c r="E6" s="4" t="s">
        <v>33</v>
      </c>
      <c r="G6" s="4" t="s">
        <v>34</v>
      </c>
      <c r="I6" s="4" t="s">
        <v>34</v>
      </c>
      <c r="K6" s="4" t="s">
        <v>34</v>
      </c>
      <c r="M6" s="4" t="s">
        <v>34</v>
      </c>
      <c r="N6" s="4" t="s">
        <v>104</v>
      </c>
      <c r="O6" s="19" t="s">
        <v>1</v>
      </c>
      <c r="P6" s="19" t="s">
        <v>1</v>
      </c>
      <c r="Q6" s="4" t="s">
        <v>104</v>
      </c>
      <c r="R6" s="27" t="s">
        <v>37</v>
      </c>
      <c r="S6" s="27" t="s">
        <v>37</v>
      </c>
      <c r="T6" s="8" t="s">
        <v>37</v>
      </c>
      <c r="V6" s="4" t="s">
        <v>43</v>
      </c>
      <c r="X6" s="4" t="s">
        <v>44</v>
      </c>
      <c r="Z6" s="4" t="s">
        <v>105</v>
      </c>
      <c r="AA6" s="27" t="s">
        <v>105</v>
      </c>
    </row>
    <row r="7" spans="7:24" s="5" customFormat="1" ht="12.75">
      <c r="G7" s="13" t="s">
        <v>45</v>
      </c>
      <c r="I7" s="13" t="s">
        <v>45</v>
      </c>
      <c r="K7" s="13" t="s">
        <v>45</v>
      </c>
      <c r="M7" s="13" t="s">
        <v>45</v>
      </c>
      <c r="O7" s="9" t="s">
        <v>38</v>
      </c>
      <c r="P7" s="9" t="s">
        <v>38</v>
      </c>
      <c r="S7" s="28"/>
      <c r="T7" s="14" t="s">
        <v>46</v>
      </c>
      <c r="V7" s="13" t="s">
        <v>47</v>
      </c>
      <c r="X7" s="13" t="s">
        <v>48</v>
      </c>
    </row>
    <row r="8" spans="1:27" ht="12.75">
      <c r="A8" t="s">
        <v>4</v>
      </c>
      <c r="C8" t="s">
        <v>98</v>
      </c>
      <c r="G8" s="16"/>
      <c r="H8" s="16"/>
      <c r="I8" s="16"/>
      <c r="J8" s="16"/>
      <c r="K8" s="16"/>
      <c r="L8" s="16"/>
      <c r="M8" s="16">
        <f>0.64</f>
        <v>0.64</v>
      </c>
      <c r="N8" s="30">
        <f>R8*$C$71</f>
        <v>0</v>
      </c>
      <c r="O8" s="21">
        <f>SUM(G8:I8)</f>
        <v>0</v>
      </c>
      <c r="P8" s="21">
        <f>SUM(K8:M8)</f>
        <v>0.64</v>
      </c>
      <c r="Q8" s="30">
        <f>S8*$C$71</f>
        <v>0.06138667524056679</v>
      </c>
      <c r="R8" s="11">
        <f>K8/$P$69</f>
        <v>0</v>
      </c>
      <c r="S8" s="11">
        <f>M8/$P$69</f>
        <v>0.0007349057253749167</v>
      </c>
      <c r="T8" s="11">
        <f>+O8/$O$69</f>
        <v>0</v>
      </c>
      <c r="V8" s="16">
        <f>+$V$69*T8</f>
        <v>0</v>
      </c>
      <c r="W8" s="16"/>
      <c r="X8" s="16">
        <f>G8+I8+K8+M8</f>
        <v>0.64</v>
      </c>
      <c r="Z8" s="21">
        <f>X8-Q8-N8</f>
        <v>0.5786133247594332</v>
      </c>
      <c r="AA8" s="30">
        <f>K8+M8-N8-Q8</f>
        <v>0.5786133247594332</v>
      </c>
    </row>
    <row r="9" spans="1:27" ht="12.75">
      <c r="A9" t="s">
        <v>4</v>
      </c>
      <c r="C9" t="s">
        <v>74</v>
      </c>
      <c r="G9" s="16"/>
      <c r="H9" s="16"/>
      <c r="I9" s="16">
        <v>10.54</v>
      </c>
      <c r="J9" s="16"/>
      <c r="K9" s="16"/>
      <c r="L9" s="16"/>
      <c r="M9" s="16"/>
      <c r="N9" s="30">
        <f aca="true" t="shared" si="0" ref="N9:N67">R9*$C$71</f>
        <v>0</v>
      </c>
      <c r="O9" s="21">
        <f>SUM(G9:I9)</f>
        <v>10.54</v>
      </c>
      <c r="P9" s="21">
        <f>SUM(K9:M9)</f>
        <v>0</v>
      </c>
      <c r="Q9" s="30">
        <f aca="true" t="shared" si="1" ref="Q9:Q67">S9*$C$71</f>
        <v>0</v>
      </c>
      <c r="R9" s="11">
        <f>K9/$P$69</f>
        <v>0</v>
      </c>
      <c r="S9" s="11">
        <f>M9/$P$69</f>
        <v>0</v>
      </c>
      <c r="T9" s="11">
        <f aca="true" t="shared" si="2" ref="T9:T67">+O9/$O$69</f>
        <v>0.000546621526308365</v>
      </c>
      <c r="V9" s="16">
        <f aca="true" t="shared" si="3" ref="V9:V67">+$V$69*T9</f>
        <v>1.3484059810974744</v>
      </c>
      <c r="W9" s="16"/>
      <c r="X9" s="16">
        <f aca="true" t="shared" si="4" ref="X9:X67">G9+I9+K9+M9</f>
        <v>10.54</v>
      </c>
      <c r="Z9" s="21">
        <f aca="true" t="shared" si="5" ref="Z9:Z67">X9-Q9-N9</f>
        <v>10.54</v>
      </c>
      <c r="AA9" s="30">
        <f aca="true" t="shared" si="6" ref="AA9:AA67">K9+M9-N9-Q9</f>
        <v>0</v>
      </c>
    </row>
    <row r="10" spans="1:27" ht="12.75">
      <c r="A10" t="s">
        <v>4</v>
      </c>
      <c r="C10" t="s">
        <v>57</v>
      </c>
      <c r="G10" s="16"/>
      <c r="H10" s="16"/>
      <c r="I10" s="16">
        <v>3.04</v>
      </c>
      <c r="J10" s="16"/>
      <c r="K10" s="16"/>
      <c r="L10" s="16"/>
      <c r="M10" s="16"/>
      <c r="N10" s="30">
        <f t="shared" si="0"/>
        <v>0</v>
      </c>
      <c r="O10" s="21">
        <f aca="true" t="shared" si="7" ref="O10:O66">SUM(G10:I10)</f>
        <v>3.04</v>
      </c>
      <c r="P10" s="21">
        <f aca="true" t="shared" si="8" ref="P10:P66">SUM(K10:M10)</f>
        <v>0</v>
      </c>
      <c r="Q10" s="30">
        <f t="shared" si="1"/>
        <v>0</v>
      </c>
      <c r="R10" s="11">
        <f aca="true" t="shared" si="9" ref="R10:R66">K10/$P$69</f>
        <v>0</v>
      </c>
      <c r="S10" s="11">
        <f aca="true" t="shared" si="10" ref="S10:S66">M10/$P$69</f>
        <v>0</v>
      </c>
      <c r="T10" s="11">
        <f t="shared" si="2"/>
        <v>0.00015765933965630264</v>
      </c>
      <c r="V10" s="16">
        <f t="shared" si="3"/>
        <v>0.38891405906416726</v>
      </c>
      <c r="W10" s="16"/>
      <c r="X10" s="16">
        <f t="shared" si="4"/>
        <v>3.04</v>
      </c>
      <c r="Z10" s="21">
        <f t="shared" si="5"/>
        <v>3.04</v>
      </c>
      <c r="AA10" s="30">
        <f t="shared" si="6"/>
        <v>0</v>
      </c>
    </row>
    <row r="11" spans="1:27" ht="12.75">
      <c r="A11" t="s">
        <v>4</v>
      </c>
      <c r="C11" t="s">
        <v>89</v>
      </c>
      <c r="G11" s="16"/>
      <c r="H11" s="16"/>
      <c r="I11" s="16"/>
      <c r="J11" s="16"/>
      <c r="K11" s="16"/>
      <c r="L11" s="16"/>
      <c r="M11" s="16"/>
      <c r="N11" s="30">
        <f t="shared" si="0"/>
        <v>0</v>
      </c>
      <c r="O11" s="21">
        <f>SUM(G11:I11)</f>
        <v>0</v>
      </c>
      <c r="P11" s="21">
        <f>SUM(K11:M11)</f>
        <v>0</v>
      </c>
      <c r="Q11" s="30">
        <f t="shared" si="1"/>
        <v>0</v>
      </c>
      <c r="R11" s="11">
        <f>K11/$P$69</f>
        <v>0</v>
      </c>
      <c r="S11" s="11">
        <f>M11/$P$69</f>
        <v>0</v>
      </c>
      <c r="T11" s="11">
        <f>+O11/$O$69</f>
        <v>0</v>
      </c>
      <c r="V11" s="16">
        <f>+$V$69*T11</f>
        <v>0</v>
      </c>
      <c r="W11" s="16"/>
      <c r="X11" s="16">
        <f t="shared" si="4"/>
        <v>0</v>
      </c>
      <c r="Z11" s="21">
        <f t="shared" si="5"/>
        <v>0</v>
      </c>
      <c r="AA11" s="30">
        <f t="shared" si="6"/>
        <v>0</v>
      </c>
    </row>
    <row r="12" spans="1:27" ht="12.75">
      <c r="A12" t="s">
        <v>5</v>
      </c>
      <c r="C12" t="s">
        <v>75</v>
      </c>
      <c r="G12" s="16"/>
      <c r="H12" s="16"/>
      <c r="I12" s="16"/>
      <c r="J12" s="16"/>
      <c r="K12" s="16"/>
      <c r="L12" s="16"/>
      <c r="M12" s="16"/>
      <c r="N12" s="30">
        <f t="shared" si="0"/>
        <v>0</v>
      </c>
      <c r="O12" s="21">
        <f t="shared" si="7"/>
        <v>0</v>
      </c>
      <c r="P12" s="21">
        <f t="shared" si="8"/>
        <v>0</v>
      </c>
      <c r="Q12" s="30">
        <f t="shared" si="1"/>
        <v>0</v>
      </c>
      <c r="R12" s="11">
        <f t="shared" si="9"/>
        <v>0</v>
      </c>
      <c r="S12" s="11">
        <f t="shared" si="10"/>
        <v>0</v>
      </c>
      <c r="T12" s="11">
        <f t="shared" si="2"/>
        <v>0</v>
      </c>
      <c r="V12" s="16">
        <f t="shared" si="3"/>
        <v>0</v>
      </c>
      <c r="W12" s="16"/>
      <c r="X12" s="16">
        <f t="shared" si="4"/>
        <v>0</v>
      </c>
      <c r="Z12" s="21">
        <f t="shared" si="5"/>
        <v>0</v>
      </c>
      <c r="AA12" s="30">
        <f t="shared" si="6"/>
        <v>0</v>
      </c>
    </row>
    <row r="13" spans="1:27" ht="12.75">
      <c r="A13" t="s">
        <v>5</v>
      </c>
      <c r="C13" t="s">
        <v>58</v>
      </c>
      <c r="G13" s="16"/>
      <c r="H13" s="16"/>
      <c r="I13" s="16">
        <v>1.75</v>
      </c>
      <c r="J13" s="16"/>
      <c r="K13" s="16"/>
      <c r="L13" s="16"/>
      <c r="M13" s="16"/>
      <c r="N13" s="30">
        <f t="shared" si="0"/>
        <v>0</v>
      </c>
      <c r="O13" s="21">
        <f t="shared" si="7"/>
        <v>1.75</v>
      </c>
      <c r="P13" s="21">
        <f t="shared" si="8"/>
        <v>0</v>
      </c>
      <c r="Q13" s="30">
        <f t="shared" si="1"/>
        <v>0</v>
      </c>
      <c r="R13" s="11">
        <f t="shared" si="9"/>
        <v>0</v>
      </c>
      <c r="S13" s="11">
        <f t="shared" si="10"/>
        <v>0</v>
      </c>
      <c r="T13" s="11">
        <f t="shared" si="2"/>
        <v>9.075784355214789E-05</v>
      </c>
      <c r="V13" s="16">
        <f t="shared" si="3"/>
        <v>0.22388144847443836</v>
      </c>
      <c r="W13" s="16"/>
      <c r="X13" s="16">
        <f t="shared" si="4"/>
        <v>1.75</v>
      </c>
      <c r="Z13" s="21">
        <f t="shared" si="5"/>
        <v>1.75</v>
      </c>
      <c r="AA13" s="30">
        <f t="shared" si="6"/>
        <v>0</v>
      </c>
    </row>
    <row r="14" spans="1:27" ht="12.75">
      <c r="A14" t="s">
        <v>5</v>
      </c>
      <c r="C14" t="s">
        <v>90</v>
      </c>
      <c r="G14" s="16"/>
      <c r="H14" s="16"/>
      <c r="I14" s="16"/>
      <c r="J14" s="16"/>
      <c r="K14" s="16"/>
      <c r="L14" s="16"/>
      <c r="M14" s="16"/>
      <c r="N14" s="30">
        <f t="shared" si="0"/>
        <v>0</v>
      </c>
      <c r="O14" s="21">
        <f>SUM(G14:I14)</f>
        <v>0</v>
      </c>
      <c r="P14" s="21">
        <f>SUM(K14:M14)</f>
        <v>0</v>
      </c>
      <c r="Q14" s="30">
        <f t="shared" si="1"/>
        <v>0</v>
      </c>
      <c r="R14" s="11">
        <f>K14/$P$69</f>
        <v>0</v>
      </c>
      <c r="S14" s="11">
        <f>M14/$P$69</f>
        <v>0</v>
      </c>
      <c r="T14" s="11">
        <f>+O14/$O$69</f>
        <v>0</v>
      </c>
      <c r="V14" s="16">
        <f>+$V$69*T14</f>
        <v>0</v>
      </c>
      <c r="W14" s="16"/>
      <c r="X14" s="16">
        <f t="shared" si="4"/>
        <v>0</v>
      </c>
      <c r="Z14" s="21">
        <f t="shared" si="5"/>
        <v>0</v>
      </c>
      <c r="AA14" s="30">
        <f t="shared" si="6"/>
        <v>0</v>
      </c>
    </row>
    <row r="15" spans="1:27" ht="12.75">
      <c r="A15" t="s">
        <v>5</v>
      </c>
      <c r="C15" t="s">
        <v>6</v>
      </c>
      <c r="G15" s="16"/>
      <c r="H15" s="16"/>
      <c r="I15" s="16">
        <v>23.21</v>
      </c>
      <c r="J15" s="16"/>
      <c r="K15" s="16"/>
      <c r="L15" s="16"/>
      <c r="M15" s="16"/>
      <c r="N15" s="30">
        <f t="shared" si="0"/>
        <v>0</v>
      </c>
      <c r="O15" s="21">
        <f t="shared" si="7"/>
        <v>23.21</v>
      </c>
      <c r="P15" s="21">
        <f t="shared" si="8"/>
        <v>0</v>
      </c>
      <c r="Q15" s="30">
        <f t="shared" si="1"/>
        <v>0</v>
      </c>
      <c r="R15" s="11">
        <f t="shared" si="9"/>
        <v>0</v>
      </c>
      <c r="S15" s="11">
        <f t="shared" si="10"/>
        <v>0</v>
      </c>
      <c r="T15" s="11">
        <f t="shared" si="2"/>
        <v>0.0012037083136259158</v>
      </c>
      <c r="V15" s="16">
        <f t="shared" si="3"/>
        <v>2.969307668052408</v>
      </c>
      <c r="W15" s="16"/>
      <c r="X15" s="16">
        <f t="shared" si="4"/>
        <v>23.21</v>
      </c>
      <c r="Z15" s="21">
        <f t="shared" si="5"/>
        <v>23.21</v>
      </c>
      <c r="AA15" s="30">
        <f t="shared" si="6"/>
        <v>0</v>
      </c>
    </row>
    <row r="16" spans="1:27" ht="12.75">
      <c r="A16" t="s">
        <v>5</v>
      </c>
      <c r="C16" t="s">
        <v>7</v>
      </c>
      <c r="G16" s="16"/>
      <c r="H16" s="16"/>
      <c r="I16" s="16">
        <v>0.74</v>
      </c>
      <c r="J16" s="16"/>
      <c r="K16" s="16"/>
      <c r="L16" s="16"/>
      <c r="M16" s="16"/>
      <c r="N16" s="30">
        <f t="shared" si="0"/>
        <v>0</v>
      </c>
      <c r="O16" s="21">
        <f t="shared" si="7"/>
        <v>0.74</v>
      </c>
      <c r="P16" s="21">
        <f t="shared" si="8"/>
        <v>0</v>
      </c>
      <c r="Q16" s="30">
        <f t="shared" si="1"/>
        <v>0</v>
      </c>
      <c r="R16" s="11">
        <f t="shared" si="9"/>
        <v>0</v>
      </c>
      <c r="S16" s="11">
        <f t="shared" si="10"/>
        <v>0</v>
      </c>
      <c r="T16" s="11">
        <f t="shared" si="2"/>
        <v>3.837760241633682E-05</v>
      </c>
      <c r="V16" s="16">
        <f t="shared" si="3"/>
        <v>0.09466986964061964</v>
      </c>
      <c r="W16" s="16"/>
      <c r="X16" s="16">
        <f t="shared" si="4"/>
        <v>0.74</v>
      </c>
      <c r="Z16" s="21">
        <f t="shared" si="5"/>
        <v>0.74</v>
      </c>
      <c r="AA16" s="30">
        <f t="shared" si="6"/>
        <v>0</v>
      </c>
    </row>
    <row r="17" spans="1:27" ht="12.75">
      <c r="A17" t="s">
        <v>5</v>
      </c>
      <c r="C17" t="s">
        <v>99</v>
      </c>
      <c r="G17" s="16"/>
      <c r="H17" s="16"/>
      <c r="I17" s="16">
        <v>2.1</v>
      </c>
      <c r="J17" s="16"/>
      <c r="K17" s="16"/>
      <c r="L17" s="16"/>
      <c r="M17" s="16"/>
      <c r="N17" s="30">
        <f t="shared" si="0"/>
        <v>0</v>
      </c>
      <c r="O17" s="21">
        <f>SUM(G17:I17)</f>
        <v>2.1</v>
      </c>
      <c r="P17" s="21">
        <f>SUM(K17:M17)</f>
        <v>0</v>
      </c>
      <c r="Q17" s="30">
        <f t="shared" si="1"/>
        <v>0</v>
      </c>
      <c r="R17" s="11">
        <f>K17/$P$69</f>
        <v>0</v>
      </c>
      <c r="S17" s="11">
        <f>M17/$P$69</f>
        <v>0</v>
      </c>
      <c r="T17" s="11">
        <f>+O17/$O$69</f>
        <v>0.00010890941226257748</v>
      </c>
      <c r="V17" s="16">
        <f>+$V$69*T17</f>
        <v>0.26865773816932603</v>
      </c>
      <c r="W17" s="16"/>
      <c r="X17" s="16">
        <f t="shared" si="4"/>
        <v>2.1</v>
      </c>
      <c r="Z17" s="21">
        <f t="shared" si="5"/>
        <v>2.1</v>
      </c>
      <c r="AA17" s="30">
        <f t="shared" si="6"/>
        <v>0</v>
      </c>
    </row>
    <row r="18" spans="1:27" ht="12.75">
      <c r="A18" t="s">
        <v>5</v>
      </c>
      <c r="C18" t="s">
        <v>76</v>
      </c>
      <c r="G18" s="16"/>
      <c r="H18" s="16"/>
      <c r="I18" s="16"/>
      <c r="J18" s="16"/>
      <c r="K18" s="16"/>
      <c r="L18" s="16"/>
      <c r="M18" s="16"/>
      <c r="N18" s="30">
        <f t="shared" si="0"/>
        <v>0</v>
      </c>
      <c r="O18" s="21">
        <f t="shared" si="7"/>
        <v>0</v>
      </c>
      <c r="P18" s="21">
        <f t="shared" si="8"/>
        <v>0</v>
      </c>
      <c r="Q18" s="30">
        <f t="shared" si="1"/>
        <v>0</v>
      </c>
      <c r="R18" s="11">
        <f t="shared" si="9"/>
        <v>0</v>
      </c>
      <c r="S18" s="11">
        <f t="shared" si="10"/>
        <v>0</v>
      </c>
      <c r="T18" s="11">
        <f t="shared" si="2"/>
        <v>0</v>
      </c>
      <c r="V18" s="16">
        <f t="shared" si="3"/>
        <v>0</v>
      </c>
      <c r="W18" s="16"/>
      <c r="X18" s="16">
        <f t="shared" si="4"/>
        <v>0</v>
      </c>
      <c r="Z18" s="21">
        <f t="shared" si="5"/>
        <v>0</v>
      </c>
      <c r="AA18" s="30">
        <f t="shared" si="6"/>
        <v>0</v>
      </c>
    </row>
    <row r="19" spans="1:27" ht="12.75">
      <c r="A19" t="s">
        <v>5</v>
      </c>
      <c r="C19" t="s">
        <v>100</v>
      </c>
      <c r="G19" s="16"/>
      <c r="H19" s="16"/>
      <c r="I19" s="16">
        <v>3.07</v>
      </c>
      <c r="J19" s="16"/>
      <c r="K19" s="16"/>
      <c r="L19" s="16"/>
      <c r="M19" s="16"/>
      <c r="N19" s="30">
        <f t="shared" si="0"/>
        <v>0</v>
      </c>
      <c r="O19" s="21">
        <f>SUM(G19:I19)</f>
        <v>3.07</v>
      </c>
      <c r="P19" s="21">
        <f>SUM(K19:M19)</f>
        <v>0</v>
      </c>
      <c r="Q19" s="30">
        <f t="shared" si="1"/>
        <v>0</v>
      </c>
      <c r="R19" s="11">
        <f>K19/$P$69</f>
        <v>0</v>
      </c>
      <c r="S19" s="11">
        <f>M19/$P$69</f>
        <v>0</v>
      </c>
      <c r="T19" s="11">
        <f>+O19/$O$69</f>
        <v>0.00015921518840291088</v>
      </c>
      <c r="V19" s="16">
        <f>+$V$69*T19</f>
        <v>0.3927520267523004</v>
      </c>
      <c r="W19" s="16"/>
      <c r="X19" s="16">
        <f t="shared" si="4"/>
        <v>3.07</v>
      </c>
      <c r="Z19" s="21">
        <f t="shared" si="5"/>
        <v>3.07</v>
      </c>
      <c r="AA19" s="30">
        <f t="shared" si="6"/>
        <v>0</v>
      </c>
    </row>
    <row r="20" spans="1:27" ht="12.75">
      <c r="A20" t="s">
        <v>5</v>
      </c>
      <c r="C20" t="s">
        <v>91</v>
      </c>
      <c r="G20" s="16"/>
      <c r="H20" s="16"/>
      <c r="I20" s="16"/>
      <c r="J20" s="16"/>
      <c r="K20" s="16"/>
      <c r="L20" s="16"/>
      <c r="M20" s="16"/>
      <c r="N20" s="30">
        <f t="shared" si="0"/>
        <v>0</v>
      </c>
      <c r="O20" s="21">
        <f>SUM(G20:I20)</f>
        <v>0</v>
      </c>
      <c r="P20" s="21">
        <f>SUM(K20:M20)</f>
        <v>0</v>
      </c>
      <c r="Q20" s="30">
        <f t="shared" si="1"/>
        <v>0</v>
      </c>
      <c r="R20" s="11">
        <f>K20/$P$69</f>
        <v>0</v>
      </c>
      <c r="S20" s="11">
        <f>M20/$P$69</f>
        <v>0</v>
      </c>
      <c r="T20" s="11">
        <f>+O20/$O$69</f>
        <v>0</v>
      </c>
      <c r="V20" s="16">
        <f>+$V$69*T20</f>
        <v>0</v>
      </c>
      <c r="W20" s="16"/>
      <c r="X20" s="16">
        <f t="shared" si="4"/>
        <v>0</v>
      </c>
      <c r="Z20" s="21">
        <f t="shared" si="5"/>
        <v>0</v>
      </c>
      <c r="AA20" s="30">
        <f t="shared" si="6"/>
        <v>0</v>
      </c>
    </row>
    <row r="21" spans="1:27" ht="12.75">
      <c r="A21" t="s">
        <v>5</v>
      </c>
      <c r="C21" t="s">
        <v>8</v>
      </c>
      <c r="G21" s="16"/>
      <c r="H21" s="16"/>
      <c r="I21" s="16"/>
      <c r="J21" s="16"/>
      <c r="K21" s="16"/>
      <c r="L21" s="16"/>
      <c r="M21" s="16">
        <v>0.22</v>
      </c>
      <c r="N21" s="30">
        <f t="shared" si="0"/>
        <v>0</v>
      </c>
      <c r="O21" s="21">
        <f>SUM(G21:I21)</f>
        <v>0</v>
      </c>
      <c r="P21" s="21">
        <f>SUM(K21:M21)</f>
        <v>0.22</v>
      </c>
      <c r="Q21" s="30">
        <f t="shared" si="1"/>
        <v>0.021101669613944836</v>
      </c>
      <c r="R21" s="11">
        <f>K21/$P$69</f>
        <v>0</v>
      </c>
      <c r="S21" s="11">
        <f>M21/$P$69</f>
        <v>0.0002526238430976276</v>
      </c>
      <c r="T21" s="11">
        <f>+O21/$O$69</f>
        <v>0</v>
      </c>
      <c r="V21" s="16">
        <f>+$V$69*T21</f>
        <v>0</v>
      </c>
      <c r="W21" s="16"/>
      <c r="X21" s="16">
        <f t="shared" si="4"/>
        <v>0.22</v>
      </c>
      <c r="Z21" s="21">
        <f t="shared" si="5"/>
        <v>0.19889833038605517</v>
      </c>
      <c r="AA21" s="30">
        <f t="shared" si="6"/>
        <v>0.19889833038605517</v>
      </c>
    </row>
    <row r="22" spans="1:27" ht="12.75">
      <c r="A22" t="s">
        <v>5</v>
      </c>
      <c r="C22" t="s">
        <v>77</v>
      </c>
      <c r="G22" s="16"/>
      <c r="H22" s="16"/>
      <c r="I22" s="16"/>
      <c r="J22" s="16"/>
      <c r="K22" s="16"/>
      <c r="L22" s="16"/>
      <c r="M22" s="16"/>
      <c r="N22" s="30">
        <f t="shared" si="0"/>
        <v>0</v>
      </c>
      <c r="O22" s="21">
        <f t="shared" si="7"/>
        <v>0</v>
      </c>
      <c r="P22" s="21">
        <f t="shared" si="8"/>
        <v>0</v>
      </c>
      <c r="Q22" s="30">
        <f t="shared" si="1"/>
        <v>0</v>
      </c>
      <c r="R22" s="11">
        <f t="shared" si="9"/>
        <v>0</v>
      </c>
      <c r="S22" s="11">
        <f t="shared" si="10"/>
        <v>0</v>
      </c>
      <c r="T22" s="11">
        <f t="shared" si="2"/>
        <v>0</v>
      </c>
      <c r="V22" s="16">
        <f t="shared" si="3"/>
        <v>0</v>
      </c>
      <c r="W22" s="16"/>
      <c r="X22" s="16">
        <f t="shared" si="4"/>
        <v>0</v>
      </c>
      <c r="Z22" s="21">
        <f t="shared" si="5"/>
        <v>0</v>
      </c>
      <c r="AA22" s="30">
        <f t="shared" si="6"/>
        <v>0</v>
      </c>
    </row>
    <row r="23" spans="1:27" ht="12.75">
      <c r="A23" t="s">
        <v>5</v>
      </c>
      <c r="C23" t="s">
        <v>9</v>
      </c>
      <c r="G23" s="16"/>
      <c r="H23" s="16"/>
      <c r="I23" s="16">
        <v>12.56</v>
      </c>
      <c r="J23" s="16"/>
      <c r="K23" s="16"/>
      <c r="L23" s="16"/>
      <c r="M23" s="16"/>
      <c r="N23" s="30">
        <f t="shared" si="0"/>
        <v>0</v>
      </c>
      <c r="O23" s="21">
        <f t="shared" si="7"/>
        <v>12.56</v>
      </c>
      <c r="P23" s="21">
        <f t="shared" si="8"/>
        <v>0</v>
      </c>
      <c r="Q23" s="30">
        <f t="shared" si="1"/>
        <v>0</v>
      </c>
      <c r="R23" s="11">
        <f t="shared" si="9"/>
        <v>0</v>
      </c>
      <c r="S23" s="11">
        <f t="shared" si="10"/>
        <v>0</v>
      </c>
      <c r="T23" s="11">
        <f t="shared" si="2"/>
        <v>0.0006513820085799871</v>
      </c>
      <c r="V23" s="16">
        <f t="shared" si="3"/>
        <v>1.6068291387651117</v>
      </c>
      <c r="W23" s="16"/>
      <c r="X23" s="16">
        <f t="shared" si="4"/>
        <v>12.56</v>
      </c>
      <c r="Z23" s="21">
        <f t="shared" si="5"/>
        <v>12.56</v>
      </c>
      <c r="AA23" s="30">
        <f t="shared" si="6"/>
        <v>0</v>
      </c>
    </row>
    <row r="24" spans="1:27" ht="12.75">
      <c r="A24" t="s">
        <v>5</v>
      </c>
      <c r="C24" t="s">
        <v>10</v>
      </c>
      <c r="G24" s="16"/>
      <c r="H24" s="16"/>
      <c r="I24" s="16">
        <v>8.16</v>
      </c>
      <c r="J24" s="16"/>
      <c r="K24" s="16"/>
      <c r="L24" s="16"/>
      <c r="M24" s="16"/>
      <c r="N24" s="30">
        <f t="shared" si="0"/>
        <v>0</v>
      </c>
      <c r="O24" s="21">
        <f t="shared" si="7"/>
        <v>8.16</v>
      </c>
      <c r="P24" s="21">
        <f t="shared" si="8"/>
        <v>0</v>
      </c>
      <c r="Q24" s="30">
        <f t="shared" si="1"/>
        <v>0</v>
      </c>
      <c r="R24" s="11">
        <f t="shared" si="9"/>
        <v>0</v>
      </c>
      <c r="S24" s="11">
        <f t="shared" si="10"/>
        <v>0</v>
      </c>
      <c r="T24" s="11">
        <f t="shared" si="2"/>
        <v>0.0004231908590774439</v>
      </c>
      <c r="V24" s="16">
        <f t="shared" si="3"/>
        <v>1.0439272111722382</v>
      </c>
      <c r="W24" s="16"/>
      <c r="X24" s="16">
        <f t="shared" si="4"/>
        <v>8.16</v>
      </c>
      <c r="Z24" s="21">
        <f t="shared" si="5"/>
        <v>8.16</v>
      </c>
      <c r="AA24" s="30">
        <f t="shared" si="6"/>
        <v>0</v>
      </c>
    </row>
    <row r="25" spans="1:27" ht="12.75" hidden="1">
      <c r="A25" t="s">
        <v>5</v>
      </c>
      <c r="C25" t="s">
        <v>8</v>
      </c>
      <c r="G25" s="16"/>
      <c r="H25" s="16"/>
      <c r="I25" s="16"/>
      <c r="J25" s="16"/>
      <c r="K25" s="16"/>
      <c r="L25" s="16"/>
      <c r="M25" s="16"/>
      <c r="N25" s="30">
        <f t="shared" si="0"/>
        <v>0</v>
      </c>
      <c r="O25" s="21">
        <f t="shared" si="7"/>
        <v>0</v>
      </c>
      <c r="P25" s="21">
        <f t="shared" si="8"/>
        <v>0</v>
      </c>
      <c r="Q25" s="30">
        <f t="shared" si="1"/>
        <v>0</v>
      </c>
      <c r="R25" s="11">
        <f t="shared" si="9"/>
        <v>0</v>
      </c>
      <c r="S25" s="11">
        <f t="shared" si="10"/>
        <v>0</v>
      </c>
      <c r="T25" s="11">
        <f t="shared" si="2"/>
        <v>0</v>
      </c>
      <c r="V25" s="16">
        <f t="shared" si="3"/>
        <v>0</v>
      </c>
      <c r="W25" s="16"/>
      <c r="X25" s="16">
        <f t="shared" si="4"/>
        <v>0</v>
      </c>
      <c r="Z25" s="21">
        <f t="shared" si="5"/>
        <v>0</v>
      </c>
      <c r="AA25" s="30">
        <f t="shared" si="6"/>
        <v>0</v>
      </c>
    </row>
    <row r="26" spans="1:27" ht="12.75" hidden="1">
      <c r="A26" t="s">
        <v>5</v>
      </c>
      <c r="C26" t="s">
        <v>9</v>
      </c>
      <c r="G26" s="16"/>
      <c r="H26" s="16"/>
      <c r="I26" s="20"/>
      <c r="J26" s="16"/>
      <c r="K26" s="16"/>
      <c r="L26" s="16"/>
      <c r="M26" s="16"/>
      <c r="N26" s="30">
        <f t="shared" si="0"/>
        <v>0</v>
      </c>
      <c r="O26" s="21">
        <f t="shared" si="7"/>
        <v>0</v>
      </c>
      <c r="P26" s="21">
        <f t="shared" si="8"/>
        <v>0</v>
      </c>
      <c r="Q26" s="30">
        <f t="shared" si="1"/>
        <v>0</v>
      </c>
      <c r="R26" s="11">
        <f t="shared" si="9"/>
        <v>0</v>
      </c>
      <c r="S26" s="11">
        <f t="shared" si="10"/>
        <v>0</v>
      </c>
      <c r="T26" s="11">
        <f t="shared" si="2"/>
        <v>0</v>
      </c>
      <c r="V26" s="16">
        <f t="shared" si="3"/>
        <v>0</v>
      </c>
      <c r="W26" s="16"/>
      <c r="X26" s="16">
        <f t="shared" si="4"/>
        <v>0</v>
      </c>
      <c r="Z26" s="21">
        <f t="shared" si="5"/>
        <v>0</v>
      </c>
      <c r="AA26" s="30">
        <f t="shared" si="6"/>
        <v>0</v>
      </c>
    </row>
    <row r="27" spans="1:27" ht="12.75" hidden="1">
      <c r="A27" t="s">
        <v>5</v>
      </c>
      <c r="C27" t="s">
        <v>10</v>
      </c>
      <c r="G27" s="16"/>
      <c r="H27" s="16"/>
      <c r="I27" s="16"/>
      <c r="J27" s="16"/>
      <c r="K27" s="16"/>
      <c r="L27" s="16"/>
      <c r="M27" s="16"/>
      <c r="N27" s="30">
        <f t="shared" si="0"/>
        <v>0</v>
      </c>
      <c r="O27" s="21">
        <f t="shared" si="7"/>
        <v>0</v>
      </c>
      <c r="P27" s="21">
        <f t="shared" si="8"/>
        <v>0</v>
      </c>
      <c r="Q27" s="30">
        <f t="shared" si="1"/>
        <v>0</v>
      </c>
      <c r="R27" s="11">
        <f t="shared" si="9"/>
        <v>0</v>
      </c>
      <c r="S27" s="11">
        <f t="shared" si="10"/>
        <v>0</v>
      </c>
      <c r="T27" s="11">
        <f t="shared" si="2"/>
        <v>0</v>
      </c>
      <c r="V27" s="16">
        <f t="shared" si="3"/>
        <v>0</v>
      </c>
      <c r="W27" s="16"/>
      <c r="X27" s="16">
        <f t="shared" si="4"/>
        <v>0</v>
      </c>
      <c r="Z27" s="21">
        <f t="shared" si="5"/>
        <v>0</v>
      </c>
      <c r="AA27" s="30">
        <f t="shared" si="6"/>
        <v>0</v>
      </c>
    </row>
    <row r="28" spans="1:27" ht="12.75" hidden="1">
      <c r="A28" t="s">
        <v>5</v>
      </c>
      <c r="C28" t="s">
        <v>59</v>
      </c>
      <c r="G28" s="16"/>
      <c r="H28" s="16"/>
      <c r="I28" s="16"/>
      <c r="J28" s="16"/>
      <c r="K28" s="16"/>
      <c r="L28" s="16"/>
      <c r="M28" s="16"/>
      <c r="N28" s="30">
        <f t="shared" si="0"/>
        <v>0</v>
      </c>
      <c r="O28" s="21">
        <f t="shared" si="7"/>
        <v>0</v>
      </c>
      <c r="P28" s="21">
        <f t="shared" si="8"/>
        <v>0</v>
      </c>
      <c r="Q28" s="30">
        <f t="shared" si="1"/>
        <v>0</v>
      </c>
      <c r="R28" s="11">
        <f t="shared" si="9"/>
        <v>0</v>
      </c>
      <c r="S28" s="11">
        <f t="shared" si="10"/>
        <v>0</v>
      </c>
      <c r="T28" s="11">
        <f t="shared" si="2"/>
        <v>0</v>
      </c>
      <c r="V28" s="16">
        <f t="shared" si="3"/>
        <v>0</v>
      </c>
      <c r="W28" s="16"/>
      <c r="X28" s="16">
        <f t="shared" si="4"/>
        <v>0</v>
      </c>
      <c r="Z28" s="21">
        <f t="shared" si="5"/>
        <v>0</v>
      </c>
      <c r="AA28" s="30">
        <f t="shared" si="6"/>
        <v>0</v>
      </c>
    </row>
    <row r="29" spans="1:27" ht="12.75" hidden="1">
      <c r="A29" t="s">
        <v>5</v>
      </c>
      <c r="C29" t="s">
        <v>11</v>
      </c>
      <c r="E29" t="s">
        <v>69</v>
      </c>
      <c r="G29" s="16"/>
      <c r="H29" s="16"/>
      <c r="I29" s="16"/>
      <c r="J29" s="16"/>
      <c r="K29" s="16"/>
      <c r="L29" s="16"/>
      <c r="M29" s="16"/>
      <c r="N29" s="30">
        <f t="shared" si="0"/>
        <v>0</v>
      </c>
      <c r="O29" s="21">
        <f t="shared" si="7"/>
        <v>0</v>
      </c>
      <c r="P29" s="21">
        <f t="shared" si="8"/>
        <v>0</v>
      </c>
      <c r="Q29" s="30">
        <f t="shared" si="1"/>
        <v>0</v>
      </c>
      <c r="R29" s="11">
        <f t="shared" si="9"/>
        <v>0</v>
      </c>
      <c r="S29" s="11">
        <f t="shared" si="10"/>
        <v>0</v>
      </c>
      <c r="T29" s="11">
        <f t="shared" si="2"/>
        <v>0</v>
      </c>
      <c r="V29" s="16">
        <f t="shared" si="3"/>
        <v>0</v>
      </c>
      <c r="W29" s="16"/>
      <c r="X29" s="16">
        <f t="shared" si="4"/>
        <v>0</v>
      </c>
      <c r="Z29" s="21">
        <f t="shared" si="5"/>
        <v>0</v>
      </c>
      <c r="AA29" s="30">
        <f t="shared" si="6"/>
        <v>0</v>
      </c>
    </row>
    <row r="30" spans="1:27" ht="12.75" hidden="1">
      <c r="A30" t="s">
        <v>5</v>
      </c>
      <c r="C30" t="s">
        <v>11</v>
      </c>
      <c r="E30" t="s">
        <v>70</v>
      </c>
      <c r="G30" s="16"/>
      <c r="H30" s="16"/>
      <c r="I30" s="16"/>
      <c r="J30" s="16"/>
      <c r="K30" s="16"/>
      <c r="L30" s="16"/>
      <c r="M30" s="16"/>
      <c r="N30" s="30">
        <f t="shared" si="0"/>
        <v>0</v>
      </c>
      <c r="O30" s="21">
        <f t="shared" si="7"/>
        <v>0</v>
      </c>
      <c r="P30" s="21">
        <f t="shared" si="8"/>
        <v>0</v>
      </c>
      <c r="Q30" s="30">
        <f t="shared" si="1"/>
        <v>0</v>
      </c>
      <c r="R30" s="11">
        <f t="shared" si="9"/>
        <v>0</v>
      </c>
      <c r="S30" s="11">
        <f t="shared" si="10"/>
        <v>0</v>
      </c>
      <c r="T30" s="11">
        <f t="shared" si="2"/>
        <v>0</v>
      </c>
      <c r="V30" s="16">
        <f t="shared" si="3"/>
        <v>0</v>
      </c>
      <c r="W30" s="16"/>
      <c r="X30" s="16">
        <f t="shared" si="4"/>
        <v>0</v>
      </c>
      <c r="Z30" s="21">
        <f t="shared" si="5"/>
        <v>0</v>
      </c>
      <c r="AA30" s="30">
        <f t="shared" si="6"/>
        <v>0</v>
      </c>
    </row>
    <row r="31" spans="1:27" ht="12.75">
      <c r="A31" t="s">
        <v>5</v>
      </c>
      <c r="C31" t="s">
        <v>11</v>
      </c>
      <c r="E31" t="s">
        <v>69</v>
      </c>
      <c r="G31" s="16"/>
      <c r="H31" s="16"/>
      <c r="I31" s="16">
        <v>7.05</v>
      </c>
      <c r="J31" s="16"/>
      <c r="K31" s="16"/>
      <c r="L31" s="16"/>
      <c r="M31" s="16"/>
      <c r="N31" s="30">
        <f t="shared" si="0"/>
        <v>0</v>
      </c>
      <c r="O31" s="21">
        <f>SUM(G31:I31)</f>
        <v>7.05</v>
      </c>
      <c r="P31" s="21">
        <f>SUM(K31:M31)</f>
        <v>0</v>
      </c>
      <c r="Q31" s="30">
        <f t="shared" si="1"/>
        <v>0</v>
      </c>
      <c r="R31" s="11">
        <f>K31/$P$69</f>
        <v>0</v>
      </c>
      <c r="S31" s="11">
        <f>M31/$P$69</f>
        <v>0</v>
      </c>
      <c r="T31" s="11">
        <f>+O31/$O$69</f>
        <v>0.00036562445545293865</v>
      </c>
      <c r="V31" s="16">
        <f>+$V$69*T31</f>
        <v>0.9019224067113087</v>
      </c>
      <c r="W31" s="16"/>
      <c r="X31" s="16">
        <f t="shared" si="4"/>
        <v>7.05</v>
      </c>
      <c r="Z31" s="21">
        <f t="shared" si="5"/>
        <v>7.05</v>
      </c>
      <c r="AA31" s="30">
        <f t="shared" si="6"/>
        <v>0</v>
      </c>
    </row>
    <row r="32" spans="1:27" ht="12.75">
      <c r="A32" t="s">
        <v>5</v>
      </c>
      <c r="C32" t="s">
        <v>11</v>
      </c>
      <c r="E32" t="s">
        <v>12</v>
      </c>
      <c r="G32" s="16"/>
      <c r="H32" s="16"/>
      <c r="I32" s="16">
        <f>3.85+1.96+1.68</f>
        <v>7.49</v>
      </c>
      <c r="J32" s="16"/>
      <c r="K32" s="16"/>
      <c r="L32" s="16"/>
      <c r="M32" s="16"/>
      <c r="N32" s="30">
        <f t="shared" si="0"/>
        <v>0</v>
      </c>
      <c r="O32" s="21">
        <f t="shared" si="7"/>
        <v>7.49</v>
      </c>
      <c r="P32" s="21">
        <f t="shared" si="8"/>
        <v>0</v>
      </c>
      <c r="Q32" s="30">
        <f t="shared" si="1"/>
        <v>0</v>
      </c>
      <c r="R32" s="11">
        <f t="shared" si="9"/>
        <v>0</v>
      </c>
      <c r="S32" s="11">
        <f t="shared" si="10"/>
        <v>0</v>
      </c>
      <c r="T32" s="11">
        <f t="shared" si="2"/>
        <v>0.000388443570403193</v>
      </c>
      <c r="V32" s="16">
        <f t="shared" si="3"/>
        <v>0.9582125994705961</v>
      </c>
      <c r="W32" s="16"/>
      <c r="X32" s="16">
        <f t="shared" si="4"/>
        <v>7.49</v>
      </c>
      <c r="Z32" s="21">
        <f t="shared" si="5"/>
        <v>7.49</v>
      </c>
      <c r="AA32" s="30">
        <f t="shared" si="6"/>
        <v>0</v>
      </c>
    </row>
    <row r="33" spans="1:27" ht="12.75" hidden="1">
      <c r="A33" t="s">
        <v>5</v>
      </c>
      <c r="C33" t="s">
        <v>11</v>
      </c>
      <c r="E33" t="s">
        <v>60</v>
      </c>
      <c r="G33" s="16"/>
      <c r="H33" s="16"/>
      <c r="I33" s="16"/>
      <c r="J33" s="16"/>
      <c r="K33" s="16"/>
      <c r="L33" s="16"/>
      <c r="M33" s="16"/>
      <c r="N33" s="30">
        <f t="shared" si="0"/>
        <v>0</v>
      </c>
      <c r="O33" s="21">
        <f t="shared" si="7"/>
        <v>0</v>
      </c>
      <c r="P33" s="21">
        <f t="shared" si="8"/>
        <v>0</v>
      </c>
      <c r="Q33" s="30">
        <f t="shared" si="1"/>
        <v>0</v>
      </c>
      <c r="R33" s="11">
        <f t="shared" si="9"/>
        <v>0</v>
      </c>
      <c r="S33" s="11">
        <f t="shared" si="10"/>
        <v>0</v>
      </c>
      <c r="T33" s="11">
        <f t="shared" si="2"/>
        <v>0</v>
      </c>
      <c r="V33" s="16">
        <f t="shared" si="3"/>
        <v>0</v>
      </c>
      <c r="W33" s="16"/>
      <c r="X33" s="16">
        <f t="shared" si="4"/>
        <v>0</v>
      </c>
      <c r="Z33" s="21">
        <f t="shared" si="5"/>
        <v>0</v>
      </c>
      <c r="AA33" s="30">
        <f t="shared" si="6"/>
        <v>0</v>
      </c>
    </row>
    <row r="34" spans="1:27" ht="12.75" hidden="1">
      <c r="A34" t="s">
        <v>5</v>
      </c>
      <c r="C34" t="s">
        <v>11</v>
      </c>
      <c r="E34" t="s">
        <v>61</v>
      </c>
      <c r="G34" s="16"/>
      <c r="H34" s="16"/>
      <c r="I34" s="16"/>
      <c r="J34" s="16"/>
      <c r="K34" s="16"/>
      <c r="L34" s="16"/>
      <c r="M34" s="16"/>
      <c r="N34" s="30">
        <f t="shared" si="0"/>
        <v>0</v>
      </c>
      <c r="O34" s="21">
        <f t="shared" si="7"/>
        <v>0</v>
      </c>
      <c r="P34" s="21">
        <f t="shared" si="8"/>
        <v>0</v>
      </c>
      <c r="Q34" s="30">
        <f t="shared" si="1"/>
        <v>0</v>
      </c>
      <c r="R34" s="11">
        <f t="shared" si="9"/>
        <v>0</v>
      </c>
      <c r="S34" s="11">
        <f t="shared" si="10"/>
        <v>0</v>
      </c>
      <c r="T34" s="11">
        <f t="shared" si="2"/>
        <v>0</v>
      </c>
      <c r="V34" s="16">
        <f t="shared" si="3"/>
        <v>0</v>
      </c>
      <c r="W34" s="16"/>
      <c r="X34" s="16">
        <f t="shared" si="4"/>
        <v>0</v>
      </c>
      <c r="Z34" s="21">
        <f t="shared" si="5"/>
        <v>0</v>
      </c>
      <c r="AA34" s="30">
        <f t="shared" si="6"/>
        <v>0</v>
      </c>
    </row>
    <row r="35" spans="1:27" ht="12.75">
      <c r="A35" t="s">
        <v>5</v>
      </c>
      <c r="C35" t="s">
        <v>11</v>
      </c>
      <c r="E35" t="s">
        <v>60</v>
      </c>
      <c r="G35" s="16"/>
      <c r="H35" s="16"/>
      <c r="I35" s="16"/>
      <c r="J35" s="16"/>
      <c r="K35" s="16"/>
      <c r="L35" s="16"/>
      <c r="M35" s="16"/>
      <c r="N35" s="30">
        <f t="shared" si="0"/>
        <v>0</v>
      </c>
      <c r="O35" s="21">
        <f>SUM(G35:I35)</f>
        <v>0</v>
      </c>
      <c r="P35" s="21">
        <f>SUM(K35:M35)</f>
        <v>0</v>
      </c>
      <c r="Q35" s="30">
        <f t="shared" si="1"/>
        <v>0</v>
      </c>
      <c r="R35" s="11">
        <f>K35/$P$69</f>
        <v>0</v>
      </c>
      <c r="S35" s="11">
        <f>M35/$P$69</f>
        <v>0</v>
      </c>
      <c r="T35" s="11">
        <f>+O35/$O$69</f>
        <v>0</v>
      </c>
      <c r="V35" s="16">
        <f>+$V$69*T35</f>
        <v>0</v>
      </c>
      <c r="W35" s="16"/>
      <c r="X35" s="16">
        <f t="shared" si="4"/>
        <v>0</v>
      </c>
      <c r="Z35" s="21">
        <f t="shared" si="5"/>
        <v>0</v>
      </c>
      <c r="AA35" s="30">
        <f t="shared" si="6"/>
        <v>0</v>
      </c>
    </row>
    <row r="36" spans="1:27" ht="12.75">
      <c r="A36" t="s">
        <v>5</v>
      </c>
      <c r="C36" t="s">
        <v>11</v>
      </c>
      <c r="E36" t="s">
        <v>61</v>
      </c>
      <c r="G36" s="16"/>
      <c r="H36" s="16"/>
      <c r="I36" s="16"/>
      <c r="J36" s="16"/>
      <c r="K36" s="16"/>
      <c r="L36" s="16"/>
      <c r="M36" s="16"/>
      <c r="N36" s="30">
        <f t="shared" si="0"/>
        <v>0</v>
      </c>
      <c r="O36" s="21">
        <f>SUM(G36:I36)</f>
        <v>0</v>
      </c>
      <c r="P36" s="21">
        <f>SUM(K36:M36)</f>
        <v>0</v>
      </c>
      <c r="Q36" s="30">
        <f t="shared" si="1"/>
        <v>0</v>
      </c>
      <c r="R36" s="11">
        <f>K36/$P$69</f>
        <v>0</v>
      </c>
      <c r="S36" s="11">
        <f>M36/$P$69</f>
        <v>0</v>
      </c>
      <c r="T36" s="11">
        <f>+O36/$O$69</f>
        <v>0</v>
      </c>
      <c r="V36" s="16">
        <f>+$V$69*T36</f>
        <v>0</v>
      </c>
      <c r="W36" s="16"/>
      <c r="X36" s="16">
        <f t="shared" si="4"/>
        <v>0</v>
      </c>
      <c r="Z36" s="21">
        <f t="shared" si="5"/>
        <v>0</v>
      </c>
      <c r="AA36" s="30">
        <f t="shared" si="6"/>
        <v>0</v>
      </c>
    </row>
    <row r="37" spans="1:27" ht="12.75">
      <c r="A37" t="s">
        <v>5</v>
      </c>
      <c r="C37" t="s">
        <v>11</v>
      </c>
      <c r="E37" t="s">
        <v>13</v>
      </c>
      <c r="G37" s="16"/>
      <c r="H37" s="16"/>
      <c r="I37" s="16">
        <v>22.32</v>
      </c>
      <c r="J37" s="16"/>
      <c r="K37" s="16"/>
      <c r="L37" s="16"/>
      <c r="M37" s="16"/>
      <c r="N37" s="30">
        <f t="shared" si="0"/>
        <v>0</v>
      </c>
      <c r="O37" s="21">
        <f t="shared" si="7"/>
        <v>22.32</v>
      </c>
      <c r="P37" s="21">
        <f t="shared" si="8"/>
        <v>0</v>
      </c>
      <c r="Q37" s="30">
        <f t="shared" si="1"/>
        <v>0</v>
      </c>
      <c r="R37" s="11">
        <f t="shared" si="9"/>
        <v>0</v>
      </c>
      <c r="S37" s="11">
        <f t="shared" si="10"/>
        <v>0</v>
      </c>
      <c r="T37" s="11">
        <f t="shared" si="2"/>
        <v>0.0011575514674765377</v>
      </c>
      <c r="V37" s="16">
        <f t="shared" si="3"/>
        <v>2.8554479599711224</v>
      </c>
      <c r="W37" s="16"/>
      <c r="X37" s="16">
        <f t="shared" si="4"/>
        <v>22.32</v>
      </c>
      <c r="Z37" s="21">
        <f t="shared" si="5"/>
        <v>22.32</v>
      </c>
      <c r="AA37" s="30">
        <f t="shared" si="6"/>
        <v>0</v>
      </c>
    </row>
    <row r="38" spans="1:27" ht="12.75">
      <c r="A38" t="s">
        <v>5</v>
      </c>
      <c r="C38" t="s">
        <v>92</v>
      </c>
      <c r="G38" s="16"/>
      <c r="H38" s="16"/>
      <c r="I38" s="16"/>
      <c r="J38" s="16"/>
      <c r="K38" s="16"/>
      <c r="L38" s="16"/>
      <c r="M38" s="16"/>
      <c r="N38" s="30">
        <f t="shared" si="0"/>
        <v>0</v>
      </c>
      <c r="O38" s="21">
        <f>SUM(G38:I38)</f>
        <v>0</v>
      </c>
      <c r="P38" s="21">
        <f>SUM(K38:M38)</f>
        <v>0</v>
      </c>
      <c r="Q38" s="30">
        <f t="shared" si="1"/>
        <v>0</v>
      </c>
      <c r="R38" s="11">
        <f>K38/$P$69</f>
        <v>0</v>
      </c>
      <c r="S38" s="11">
        <f>M38/$P$69</f>
        <v>0</v>
      </c>
      <c r="T38" s="11">
        <f>+O38/$O$69</f>
        <v>0</v>
      </c>
      <c r="V38" s="16">
        <f>+$V$69*T38</f>
        <v>0</v>
      </c>
      <c r="W38" s="16"/>
      <c r="X38" s="16">
        <f t="shared" si="4"/>
        <v>0</v>
      </c>
      <c r="Z38" s="21">
        <f t="shared" si="5"/>
        <v>0</v>
      </c>
      <c r="AA38" s="30">
        <f t="shared" si="6"/>
        <v>0</v>
      </c>
    </row>
    <row r="39" spans="1:27" ht="12.75">
      <c r="A39" t="s">
        <v>14</v>
      </c>
      <c r="C39" t="s">
        <v>78</v>
      </c>
      <c r="G39" s="16"/>
      <c r="H39" s="16"/>
      <c r="I39" s="16"/>
      <c r="J39" s="16"/>
      <c r="K39" s="16"/>
      <c r="L39" s="16"/>
      <c r="M39" s="16"/>
      <c r="N39" s="30">
        <f t="shared" si="0"/>
        <v>0</v>
      </c>
      <c r="O39" s="21">
        <f t="shared" si="7"/>
        <v>0</v>
      </c>
      <c r="P39" s="21">
        <f t="shared" si="8"/>
        <v>0</v>
      </c>
      <c r="Q39" s="30">
        <f t="shared" si="1"/>
        <v>0</v>
      </c>
      <c r="R39" s="11">
        <f t="shared" si="9"/>
        <v>0</v>
      </c>
      <c r="S39" s="11">
        <f t="shared" si="10"/>
        <v>0</v>
      </c>
      <c r="T39" s="11">
        <f t="shared" si="2"/>
        <v>0</v>
      </c>
      <c r="V39" s="16">
        <f t="shared" si="3"/>
        <v>0</v>
      </c>
      <c r="W39" s="16"/>
      <c r="X39" s="16">
        <f t="shared" si="4"/>
        <v>0</v>
      </c>
      <c r="Z39" s="21">
        <f t="shared" si="5"/>
        <v>0</v>
      </c>
      <c r="AA39" s="30">
        <f t="shared" si="6"/>
        <v>0</v>
      </c>
    </row>
    <row r="40" spans="1:27" ht="12.75">
      <c r="A40" t="s">
        <v>14</v>
      </c>
      <c r="C40" t="s">
        <v>15</v>
      </c>
      <c r="G40" s="16"/>
      <c r="H40" s="16"/>
      <c r="I40" s="16">
        <v>96.64</v>
      </c>
      <c r="J40" s="16"/>
      <c r="K40" s="16"/>
      <c r="L40" s="16"/>
      <c r="M40" s="16"/>
      <c r="N40" s="30">
        <f t="shared" si="0"/>
        <v>0</v>
      </c>
      <c r="O40" s="21">
        <f t="shared" si="7"/>
        <v>96.64</v>
      </c>
      <c r="P40" s="21">
        <f t="shared" si="8"/>
        <v>0</v>
      </c>
      <c r="Q40" s="30">
        <f t="shared" si="1"/>
        <v>0</v>
      </c>
      <c r="R40" s="11">
        <f t="shared" si="9"/>
        <v>0</v>
      </c>
      <c r="S40" s="11">
        <f t="shared" si="10"/>
        <v>0</v>
      </c>
      <c r="T40" s="11">
        <f t="shared" si="2"/>
        <v>0.005011907429074041</v>
      </c>
      <c r="V40" s="16">
        <f t="shared" si="3"/>
        <v>12.363373246039842</v>
      </c>
      <c r="W40" s="16"/>
      <c r="X40" s="16">
        <f t="shared" si="4"/>
        <v>96.64</v>
      </c>
      <c r="Z40" s="21">
        <f t="shared" si="5"/>
        <v>96.64</v>
      </c>
      <c r="AA40" s="30">
        <f t="shared" si="6"/>
        <v>0</v>
      </c>
    </row>
    <row r="41" spans="1:27" ht="12.75">
      <c r="A41" t="s">
        <v>14</v>
      </c>
      <c r="C41" t="s">
        <v>16</v>
      </c>
      <c r="G41" s="16"/>
      <c r="H41" s="16"/>
      <c r="I41" s="16"/>
      <c r="J41" s="16"/>
      <c r="K41" s="16"/>
      <c r="L41" s="16"/>
      <c r="M41" s="16"/>
      <c r="N41" s="30">
        <f t="shared" si="0"/>
        <v>0</v>
      </c>
      <c r="O41" s="21">
        <f t="shared" si="7"/>
        <v>0</v>
      </c>
      <c r="P41" s="21">
        <f t="shared" si="8"/>
        <v>0</v>
      </c>
      <c r="Q41" s="30">
        <f t="shared" si="1"/>
        <v>0</v>
      </c>
      <c r="R41" s="11">
        <f t="shared" si="9"/>
        <v>0</v>
      </c>
      <c r="S41" s="11">
        <f t="shared" si="10"/>
        <v>0</v>
      </c>
      <c r="T41" s="11">
        <f t="shared" si="2"/>
        <v>0</v>
      </c>
      <c r="V41" s="16">
        <f t="shared" si="3"/>
        <v>0</v>
      </c>
      <c r="W41" s="16"/>
      <c r="X41" s="16">
        <f t="shared" si="4"/>
        <v>0</v>
      </c>
      <c r="Z41" s="21">
        <f t="shared" si="5"/>
        <v>0</v>
      </c>
      <c r="AA41" s="30">
        <f t="shared" si="6"/>
        <v>0</v>
      </c>
    </row>
    <row r="42" spans="1:27" ht="12.75" hidden="1">
      <c r="A42" t="s">
        <v>71</v>
      </c>
      <c r="C42" t="s">
        <v>72</v>
      </c>
      <c r="G42" s="16"/>
      <c r="H42" s="16"/>
      <c r="I42" s="16"/>
      <c r="J42" s="16"/>
      <c r="K42" s="16"/>
      <c r="L42" s="16"/>
      <c r="M42" s="16"/>
      <c r="N42" s="30">
        <f t="shared" si="0"/>
        <v>0</v>
      </c>
      <c r="O42" s="21">
        <f t="shared" si="7"/>
        <v>0</v>
      </c>
      <c r="P42" s="21">
        <f t="shared" si="8"/>
        <v>0</v>
      </c>
      <c r="Q42" s="30">
        <f t="shared" si="1"/>
        <v>0</v>
      </c>
      <c r="R42" s="11">
        <f t="shared" si="9"/>
        <v>0</v>
      </c>
      <c r="S42" s="11">
        <f t="shared" si="10"/>
        <v>0</v>
      </c>
      <c r="T42" s="11">
        <f t="shared" si="2"/>
        <v>0</v>
      </c>
      <c r="V42" s="16">
        <f t="shared" si="3"/>
        <v>0</v>
      </c>
      <c r="W42" s="16"/>
      <c r="X42" s="16">
        <f t="shared" si="4"/>
        <v>0</v>
      </c>
      <c r="Z42" s="21">
        <f t="shared" si="5"/>
        <v>0</v>
      </c>
      <c r="AA42" s="30">
        <f t="shared" si="6"/>
        <v>0</v>
      </c>
    </row>
    <row r="43" spans="1:27" ht="12.75">
      <c r="A43" t="s">
        <v>17</v>
      </c>
      <c r="C43" t="s">
        <v>18</v>
      </c>
      <c r="G43" s="16">
        <v>1035.22</v>
      </c>
      <c r="H43" s="16"/>
      <c r="I43" s="16">
        <f>309.3+3.81+365.22</f>
        <v>678.33</v>
      </c>
      <c r="J43" s="16"/>
      <c r="K43" s="16">
        <f>2.18+7.69</f>
        <v>9.870000000000001</v>
      </c>
      <c r="L43" s="16"/>
      <c r="M43" s="16">
        <f>6.93+26.97</f>
        <v>33.9</v>
      </c>
      <c r="N43" s="30">
        <f t="shared" si="0"/>
        <v>0.9466976322256162</v>
      </c>
      <c r="O43" s="21">
        <f t="shared" si="7"/>
        <v>1713.5500000000002</v>
      </c>
      <c r="P43" s="21">
        <f t="shared" si="8"/>
        <v>43.769999999999996</v>
      </c>
      <c r="Q43" s="30">
        <f t="shared" si="1"/>
        <v>3.2515754541487727</v>
      </c>
      <c r="R43" s="11">
        <f t="shared" si="9"/>
        <v>0.011333624233516295</v>
      </c>
      <c r="S43" s="11">
        <f t="shared" si="10"/>
        <v>0.03892703764095262</v>
      </c>
      <c r="T43" s="11">
        <f t="shared" si="2"/>
        <v>0.08886748732501888</v>
      </c>
      <c r="V43" s="16">
        <f t="shared" si="3"/>
        <v>219.2183177333565</v>
      </c>
      <c r="W43" s="16"/>
      <c r="X43" s="16">
        <f t="shared" si="4"/>
        <v>1757.3200000000002</v>
      </c>
      <c r="Z43" s="21">
        <f t="shared" si="5"/>
        <v>1753.121726913626</v>
      </c>
      <c r="AA43" s="30">
        <f t="shared" si="6"/>
        <v>39.57172691362561</v>
      </c>
    </row>
    <row r="44" spans="1:27" ht="12.75">
      <c r="A44" t="s">
        <v>17</v>
      </c>
      <c r="C44" t="s">
        <v>79</v>
      </c>
      <c r="G44" s="16"/>
      <c r="H44" s="16"/>
      <c r="I44" s="16">
        <v>1.72</v>
      </c>
      <c r="J44" s="16"/>
      <c r="K44" s="16"/>
      <c r="L44" s="16"/>
      <c r="M44" s="16"/>
      <c r="N44" s="30">
        <f t="shared" si="0"/>
        <v>0</v>
      </c>
      <c r="O44" s="21">
        <f t="shared" si="7"/>
        <v>1.72</v>
      </c>
      <c r="P44" s="21">
        <f t="shared" si="8"/>
        <v>0</v>
      </c>
      <c r="Q44" s="30">
        <f t="shared" si="1"/>
        <v>0</v>
      </c>
      <c r="R44" s="11">
        <f t="shared" si="9"/>
        <v>0</v>
      </c>
      <c r="S44" s="11">
        <f t="shared" si="10"/>
        <v>0</v>
      </c>
      <c r="T44" s="11">
        <f t="shared" si="2"/>
        <v>8.920199480553964E-05</v>
      </c>
      <c r="V44" s="16">
        <f t="shared" si="3"/>
        <v>0.22004348078630512</v>
      </c>
      <c r="W44" s="16"/>
      <c r="X44" s="16">
        <f t="shared" si="4"/>
        <v>1.72</v>
      </c>
      <c r="Z44" s="21">
        <f t="shared" si="5"/>
        <v>1.72</v>
      </c>
      <c r="AA44" s="30">
        <f t="shared" si="6"/>
        <v>0</v>
      </c>
    </row>
    <row r="45" spans="1:27" ht="12.75">
      <c r="A45" t="s">
        <v>17</v>
      </c>
      <c r="C45" t="s">
        <v>62</v>
      </c>
      <c r="G45" s="16">
        <f>4399.61</f>
        <v>4399.61</v>
      </c>
      <c r="H45" s="16"/>
      <c r="I45" s="16">
        <f>1847.69+1427.5</f>
        <v>3275.19</v>
      </c>
      <c r="J45" s="16"/>
      <c r="K45" s="16"/>
      <c r="L45" s="16"/>
      <c r="M45" s="16">
        <f>216.55+212.62</f>
        <v>429.17</v>
      </c>
      <c r="N45" s="30">
        <f t="shared" si="0"/>
        <v>0</v>
      </c>
      <c r="O45" s="21">
        <f t="shared" si="7"/>
        <v>7674.799999999999</v>
      </c>
      <c r="P45" s="21">
        <f t="shared" si="8"/>
        <v>429.17</v>
      </c>
      <c r="Q45" s="30">
        <f t="shared" si="1"/>
        <v>41.1645615828032</v>
      </c>
      <c r="R45" s="11">
        <f t="shared" si="9"/>
        <v>0</v>
      </c>
      <c r="S45" s="11">
        <f t="shared" si="10"/>
        <v>0.4928117033736766</v>
      </c>
      <c r="T45" s="11">
        <f t="shared" si="2"/>
        <v>0.39802759868229975</v>
      </c>
      <c r="V45" s="16">
        <f t="shared" si="3"/>
        <v>981.8544804294968</v>
      </c>
      <c r="W45" s="16"/>
      <c r="X45" s="16">
        <f t="shared" si="4"/>
        <v>8103.969999999999</v>
      </c>
      <c r="Z45" s="21">
        <f t="shared" si="5"/>
        <v>8062.8054384171965</v>
      </c>
      <c r="AA45" s="30">
        <f t="shared" si="6"/>
        <v>388.00543841719684</v>
      </c>
    </row>
    <row r="46" spans="1:27" ht="12.75">
      <c r="A46" t="s">
        <v>17</v>
      </c>
      <c r="C46" t="s">
        <v>80</v>
      </c>
      <c r="G46" s="16"/>
      <c r="H46" s="16"/>
      <c r="I46" s="16">
        <f>2.43+6.69</f>
        <v>9.120000000000001</v>
      </c>
      <c r="J46" s="16"/>
      <c r="K46" s="16"/>
      <c r="L46" s="16"/>
      <c r="M46" s="16">
        <f>29.53</f>
        <v>29.53</v>
      </c>
      <c r="N46" s="30">
        <f t="shared" si="0"/>
        <v>0</v>
      </c>
      <c r="O46" s="21">
        <f t="shared" si="7"/>
        <v>9.120000000000001</v>
      </c>
      <c r="P46" s="21">
        <f t="shared" si="8"/>
        <v>29.53</v>
      </c>
      <c r="Q46" s="30">
        <f t="shared" si="1"/>
        <v>2.8324195622717774</v>
      </c>
      <c r="R46" s="11">
        <f t="shared" si="9"/>
        <v>0</v>
      </c>
      <c r="S46" s="11">
        <f t="shared" si="10"/>
        <v>0.03390900948487702</v>
      </c>
      <c r="T46" s="11">
        <f t="shared" si="2"/>
        <v>0.0004729780189689079</v>
      </c>
      <c r="V46" s="16">
        <f t="shared" si="3"/>
        <v>1.1667421771925017</v>
      </c>
      <c r="W46" s="16"/>
      <c r="X46" s="16">
        <f t="shared" si="4"/>
        <v>38.650000000000006</v>
      </c>
      <c r="Z46" s="21">
        <f t="shared" si="5"/>
        <v>35.817580437728225</v>
      </c>
      <c r="AA46" s="30">
        <f t="shared" si="6"/>
        <v>26.697580437728224</v>
      </c>
    </row>
    <row r="47" spans="1:27" ht="12.75">
      <c r="A47" t="s">
        <v>17</v>
      </c>
      <c r="C47" t="s">
        <v>63</v>
      </c>
      <c r="E47" t="s">
        <v>17</v>
      </c>
      <c r="G47" s="16">
        <v>879.9</v>
      </c>
      <c r="H47" s="16"/>
      <c r="I47" s="16"/>
      <c r="J47" s="16"/>
      <c r="K47" s="16">
        <f>3.49</f>
        <v>3.49</v>
      </c>
      <c r="L47" s="16"/>
      <c r="M47" s="16">
        <f>4.27</f>
        <v>4.27</v>
      </c>
      <c r="N47" s="30">
        <f t="shared" si="0"/>
        <v>0.33474921342121583</v>
      </c>
      <c r="O47" s="21">
        <f t="shared" si="7"/>
        <v>879.9</v>
      </c>
      <c r="P47" s="21">
        <f t="shared" si="8"/>
        <v>7.76</v>
      </c>
      <c r="Q47" s="30">
        <f t="shared" si="1"/>
        <v>0.40956422387065655</v>
      </c>
      <c r="R47" s="11">
        <f t="shared" si="9"/>
        <v>0.004007532783685093</v>
      </c>
      <c r="S47" s="11">
        <f t="shared" si="10"/>
        <v>0.004903199136485772</v>
      </c>
      <c r="T47" s="11">
        <f t="shared" si="2"/>
        <v>0.04563304373801996</v>
      </c>
      <c r="V47" s="16">
        <f t="shared" si="3"/>
        <v>112.56759229294761</v>
      </c>
      <c r="W47" s="16"/>
      <c r="X47" s="16">
        <f t="shared" si="4"/>
        <v>887.66</v>
      </c>
      <c r="Z47" s="21">
        <f t="shared" si="5"/>
        <v>886.9156865627081</v>
      </c>
      <c r="AA47" s="30">
        <f t="shared" si="6"/>
        <v>7.015686562708127</v>
      </c>
    </row>
    <row r="48" spans="1:27" ht="12.75">
      <c r="A48" t="s">
        <v>17</v>
      </c>
      <c r="C48" t="s">
        <v>93</v>
      </c>
      <c r="G48" s="16"/>
      <c r="H48" s="16"/>
      <c r="I48" s="16">
        <f>9.73+5.29</f>
        <v>15.02</v>
      </c>
      <c r="J48" s="16"/>
      <c r="K48" s="16"/>
      <c r="L48" s="16"/>
      <c r="M48" s="16"/>
      <c r="N48" s="30">
        <f t="shared" si="0"/>
        <v>0</v>
      </c>
      <c r="O48" s="21">
        <f>SUM(G48:I48)</f>
        <v>15.02</v>
      </c>
      <c r="P48" s="21">
        <f>SUM(K48:M48)</f>
        <v>0</v>
      </c>
      <c r="Q48" s="30">
        <f t="shared" si="1"/>
        <v>0</v>
      </c>
      <c r="R48" s="11">
        <f>K48/$P$69</f>
        <v>0</v>
      </c>
      <c r="S48" s="11">
        <f>M48/$P$69</f>
        <v>0</v>
      </c>
      <c r="T48" s="11">
        <f>+O48/$O$69</f>
        <v>0.0007789616058018636</v>
      </c>
      <c r="V48" s="16">
        <f>+$V$69*T48</f>
        <v>1.9215424891920367</v>
      </c>
      <c r="W48" s="16"/>
      <c r="X48" s="16">
        <f t="shared" si="4"/>
        <v>15.02</v>
      </c>
      <c r="Z48" s="21">
        <f t="shared" si="5"/>
        <v>15.02</v>
      </c>
      <c r="AA48" s="30">
        <f t="shared" si="6"/>
        <v>0</v>
      </c>
    </row>
    <row r="49" spans="1:27" ht="12.75">
      <c r="A49" t="s">
        <v>17</v>
      </c>
      <c r="C49" t="s">
        <v>19</v>
      </c>
      <c r="G49" s="16"/>
      <c r="H49" s="16"/>
      <c r="I49" s="16"/>
      <c r="J49" s="16"/>
      <c r="K49" s="16"/>
      <c r="L49" s="16"/>
      <c r="M49" s="16">
        <f>2+1.9</f>
        <v>3.9</v>
      </c>
      <c r="N49" s="30">
        <f t="shared" si="0"/>
        <v>0</v>
      </c>
      <c r="O49" s="21">
        <f t="shared" si="7"/>
        <v>0</v>
      </c>
      <c r="P49" s="21">
        <f t="shared" si="8"/>
        <v>3.9</v>
      </c>
      <c r="Q49" s="30">
        <f t="shared" si="1"/>
        <v>0.37407505224720394</v>
      </c>
      <c r="R49" s="11">
        <f t="shared" si="9"/>
        <v>0</v>
      </c>
      <c r="S49" s="11">
        <f t="shared" si="10"/>
        <v>0.004478331764003399</v>
      </c>
      <c r="T49" s="11">
        <f t="shared" si="2"/>
        <v>0</v>
      </c>
      <c r="V49" s="16">
        <f t="shared" si="3"/>
        <v>0</v>
      </c>
      <c r="W49" s="16"/>
      <c r="X49" s="16">
        <f t="shared" si="4"/>
        <v>3.9</v>
      </c>
      <c r="Z49" s="21">
        <f t="shared" si="5"/>
        <v>3.525924947752796</v>
      </c>
      <c r="AA49" s="30">
        <f t="shared" si="6"/>
        <v>3.525924947752796</v>
      </c>
    </row>
    <row r="50" spans="1:27" ht="12.75">
      <c r="A50" t="s">
        <v>81</v>
      </c>
      <c r="C50" t="s">
        <v>82</v>
      </c>
      <c r="E50" t="s">
        <v>83</v>
      </c>
      <c r="G50" s="16"/>
      <c r="H50" s="16"/>
      <c r="I50" s="16">
        <f>17.86+17.92</f>
        <v>35.78</v>
      </c>
      <c r="J50" s="16"/>
      <c r="K50" s="16"/>
      <c r="L50" s="16"/>
      <c r="M50" s="16"/>
      <c r="N50" s="30">
        <f t="shared" si="0"/>
        <v>0</v>
      </c>
      <c r="O50" s="21">
        <f t="shared" si="7"/>
        <v>35.78</v>
      </c>
      <c r="P50" s="21">
        <f t="shared" si="8"/>
        <v>0</v>
      </c>
      <c r="Q50" s="30">
        <f t="shared" si="1"/>
        <v>0</v>
      </c>
      <c r="R50" s="11">
        <f t="shared" si="9"/>
        <v>0</v>
      </c>
      <c r="S50" s="11">
        <f t="shared" si="10"/>
        <v>0</v>
      </c>
      <c r="T50" s="11">
        <f t="shared" si="2"/>
        <v>0.0018556089384547724</v>
      </c>
      <c r="V50" s="16">
        <f t="shared" si="3"/>
        <v>4.577416129380231</v>
      </c>
      <c r="W50" s="16"/>
      <c r="X50" s="16">
        <f t="shared" si="4"/>
        <v>35.78</v>
      </c>
      <c r="Z50" s="21">
        <f t="shared" si="5"/>
        <v>35.78</v>
      </c>
      <c r="AA50" s="30">
        <f t="shared" si="6"/>
        <v>0</v>
      </c>
    </row>
    <row r="51" spans="1:27" ht="12.75">
      <c r="A51" t="s">
        <v>73</v>
      </c>
      <c r="C51" t="s">
        <v>73</v>
      </c>
      <c r="G51" s="16"/>
      <c r="H51" s="16"/>
      <c r="I51" s="16">
        <v>0.9</v>
      </c>
      <c r="J51" s="16"/>
      <c r="K51" s="16"/>
      <c r="L51" s="16"/>
      <c r="M51" s="16"/>
      <c r="N51" s="30">
        <f t="shared" si="0"/>
        <v>0</v>
      </c>
      <c r="O51" s="21">
        <f t="shared" si="7"/>
        <v>0.9</v>
      </c>
      <c r="P51" s="21">
        <f t="shared" si="8"/>
        <v>0</v>
      </c>
      <c r="Q51" s="30">
        <f t="shared" si="1"/>
        <v>0</v>
      </c>
      <c r="R51" s="11">
        <f t="shared" si="9"/>
        <v>0</v>
      </c>
      <c r="S51" s="11">
        <f t="shared" si="10"/>
        <v>0</v>
      </c>
      <c r="T51" s="11">
        <f t="shared" si="2"/>
        <v>4.667546239824749E-05</v>
      </c>
      <c r="V51" s="16">
        <f t="shared" si="3"/>
        <v>0.11513903064399687</v>
      </c>
      <c r="W51" s="16"/>
      <c r="X51" s="16">
        <f t="shared" si="4"/>
        <v>0.9</v>
      </c>
      <c r="Z51" s="21">
        <f t="shared" si="5"/>
        <v>0.9</v>
      </c>
      <c r="AA51" s="30">
        <f t="shared" si="6"/>
        <v>0</v>
      </c>
    </row>
    <row r="52" spans="1:27" ht="12.75">
      <c r="A52" t="s">
        <v>20</v>
      </c>
      <c r="C52" t="s">
        <v>84</v>
      </c>
      <c r="G52" s="16"/>
      <c r="H52" s="16"/>
      <c r="I52" s="16"/>
      <c r="J52" s="16"/>
      <c r="K52" s="16"/>
      <c r="L52" s="16"/>
      <c r="M52" s="16"/>
      <c r="N52" s="30">
        <f t="shared" si="0"/>
        <v>0</v>
      </c>
      <c r="O52" s="21">
        <f t="shared" si="7"/>
        <v>0</v>
      </c>
      <c r="P52" s="21">
        <f t="shared" si="8"/>
        <v>0</v>
      </c>
      <c r="Q52" s="30">
        <f t="shared" si="1"/>
        <v>0</v>
      </c>
      <c r="R52" s="11">
        <f t="shared" si="9"/>
        <v>0</v>
      </c>
      <c r="S52" s="11">
        <f t="shared" si="10"/>
        <v>0</v>
      </c>
      <c r="T52" s="11">
        <f t="shared" si="2"/>
        <v>0</v>
      </c>
      <c r="V52" s="16">
        <f t="shared" si="3"/>
        <v>0</v>
      </c>
      <c r="W52" s="16"/>
      <c r="X52" s="16">
        <f t="shared" si="4"/>
        <v>0</v>
      </c>
      <c r="Z52" s="21">
        <f t="shared" si="5"/>
        <v>0</v>
      </c>
      <c r="AA52" s="30">
        <f t="shared" si="6"/>
        <v>0</v>
      </c>
    </row>
    <row r="53" spans="1:27" ht="12.75">
      <c r="A53" t="s">
        <v>20</v>
      </c>
      <c r="C53" t="s">
        <v>20</v>
      </c>
      <c r="G53" s="16"/>
      <c r="H53" s="16"/>
      <c r="I53" s="16">
        <f>1.01+4.26</f>
        <v>5.27</v>
      </c>
      <c r="J53" s="16"/>
      <c r="K53" s="16"/>
      <c r="L53" s="16"/>
      <c r="M53" s="16"/>
      <c r="N53" s="30">
        <f t="shared" si="0"/>
        <v>0</v>
      </c>
      <c r="O53" s="21">
        <f t="shared" si="7"/>
        <v>5.27</v>
      </c>
      <c r="P53" s="21">
        <f t="shared" si="8"/>
        <v>0</v>
      </c>
      <c r="Q53" s="30">
        <f t="shared" si="1"/>
        <v>0</v>
      </c>
      <c r="R53" s="11">
        <f t="shared" si="9"/>
        <v>0</v>
      </c>
      <c r="S53" s="11">
        <f t="shared" si="10"/>
        <v>0</v>
      </c>
      <c r="T53" s="11">
        <f t="shared" si="2"/>
        <v>0.0002733107631541825</v>
      </c>
      <c r="V53" s="16">
        <f t="shared" si="3"/>
        <v>0.6742029905487372</v>
      </c>
      <c r="W53" s="16"/>
      <c r="X53" s="16">
        <f t="shared" si="4"/>
        <v>5.27</v>
      </c>
      <c r="Z53" s="21">
        <f t="shared" si="5"/>
        <v>5.27</v>
      </c>
      <c r="AA53" s="30">
        <f t="shared" si="6"/>
        <v>0</v>
      </c>
    </row>
    <row r="54" spans="1:27" ht="12.75">
      <c r="A54" t="s">
        <v>20</v>
      </c>
      <c r="C54" t="s">
        <v>101</v>
      </c>
      <c r="G54" s="16"/>
      <c r="H54" s="16"/>
      <c r="I54" s="16">
        <f>1.42</f>
        <v>1.42</v>
      </c>
      <c r="J54" s="16"/>
      <c r="K54" s="16"/>
      <c r="L54" s="16"/>
      <c r="M54" s="16"/>
      <c r="N54" s="30">
        <f t="shared" si="0"/>
        <v>0</v>
      </c>
      <c r="O54" s="21">
        <f>SUM(G54:I54)</f>
        <v>1.42</v>
      </c>
      <c r="P54" s="21">
        <f>SUM(K54:M54)</f>
        <v>0</v>
      </c>
      <c r="Q54" s="30">
        <f t="shared" si="1"/>
        <v>0</v>
      </c>
      <c r="R54" s="11">
        <f>K54/$P$69</f>
        <v>0</v>
      </c>
      <c r="S54" s="11">
        <f>M54/$P$69</f>
        <v>0</v>
      </c>
      <c r="T54" s="11">
        <f>+O54/$O$69</f>
        <v>7.364350733945715E-05</v>
      </c>
      <c r="V54" s="16">
        <f>+$V$69*T54</f>
        <v>0.18166380390497283</v>
      </c>
      <c r="W54" s="16"/>
      <c r="X54" s="16">
        <f t="shared" si="4"/>
        <v>1.42</v>
      </c>
      <c r="Z54" s="21">
        <f t="shared" si="5"/>
        <v>1.42</v>
      </c>
      <c r="AA54" s="30">
        <f t="shared" si="6"/>
        <v>0</v>
      </c>
    </row>
    <row r="55" spans="1:27" ht="12.75">
      <c r="A55" t="s">
        <v>94</v>
      </c>
      <c r="C55" t="s">
        <v>95</v>
      </c>
      <c r="G55" s="16"/>
      <c r="H55" s="16"/>
      <c r="I55" s="16"/>
      <c r="J55" s="16"/>
      <c r="K55" s="16"/>
      <c r="L55" s="16"/>
      <c r="M55" s="16"/>
      <c r="N55" s="30">
        <f t="shared" si="0"/>
        <v>0</v>
      </c>
      <c r="O55" s="21">
        <f>SUM(G55:I55)</f>
        <v>0</v>
      </c>
      <c r="P55" s="21">
        <f>SUM(K55:M55)</f>
        <v>0</v>
      </c>
      <c r="Q55" s="30">
        <f t="shared" si="1"/>
        <v>0</v>
      </c>
      <c r="R55" s="11">
        <f>K55/$P$69</f>
        <v>0</v>
      </c>
      <c r="S55" s="11">
        <f>M55/$P$69</f>
        <v>0</v>
      </c>
      <c r="T55" s="11">
        <f>+O55/$O$69</f>
        <v>0</v>
      </c>
      <c r="V55" s="16">
        <f>+$V$69*T55</f>
        <v>0</v>
      </c>
      <c r="W55" s="16"/>
      <c r="X55" s="16">
        <f t="shared" si="4"/>
        <v>0</v>
      </c>
      <c r="Z55" s="21">
        <f t="shared" si="5"/>
        <v>0</v>
      </c>
      <c r="AA55" s="30">
        <f t="shared" si="6"/>
        <v>0</v>
      </c>
    </row>
    <row r="56" spans="1:27" ht="12.75">
      <c r="A56" t="s">
        <v>21</v>
      </c>
      <c r="C56" t="s">
        <v>64</v>
      </c>
      <c r="G56" s="16"/>
      <c r="H56" s="16"/>
      <c r="I56" s="16">
        <f>20.38+202.89</f>
        <v>223.26999999999998</v>
      </c>
      <c r="J56" s="16"/>
      <c r="K56" s="16"/>
      <c r="L56" s="16"/>
      <c r="M56" s="16">
        <f>0.6+6.89</f>
        <v>7.489999999999999</v>
      </c>
      <c r="N56" s="30">
        <f t="shared" si="0"/>
        <v>0</v>
      </c>
      <c r="O56" s="21">
        <f t="shared" si="7"/>
        <v>223.26999999999998</v>
      </c>
      <c r="P56" s="21">
        <f t="shared" si="8"/>
        <v>7.489999999999999</v>
      </c>
      <c r="Q56" s="30">
        <f t="shared" si="1"/>
        <v>0.7184159336747582</v>
      </c>
      <c r="R56" s="11">
        <f t="shared" si="9"/>
        <v>0</v>
      </c>
      <c r="S56" s="11">
        <f t="shared" si="10"/>
        <v>0.008600693567278321</v>
      </c>
      <c r="T56" s="11">
        <f t="shared" si="2"/>
        <v>0.011579144988507461</v>
      </c>
      <c r="V56" s="16">
        <f t="shared" si="3"/>
        <v>28.563434857650197</v>
      </c>
      <c r="W56" s="16"/>
      <c r="X56" s="16">
        <f t="shared" si="4"/>
        <v>230.76</v>
      </c>
      <c r="Z56" s="21">
        <f t="shared" si="5"/>
        <v>230.04158406632524</v>
      </c>
      <c r="AA56" s="30">
        <f t="shared" si="6"/>
        <v>6.771584066325241</v>
      </c>
    </row>
    <row r="57" spans="1:27" ht="12.75">
      <c r="A57" t="s">
        <v>21</v>
      </c>
      <c r="C57" t="s">
        <v>22</v>
      </c>
      <c r="G57" s="16"/>
      <c r="H57" s="16"/>
      <c r="I57" s="16">
        <f>9.49+19.69</f>
        <v>29.18</v>
      </c>
      <c r="J57" s="16"/>
      <c r="K57" s="16"/>
      <c r="L57" s="16"/>
      <c r="M57" s="16">
        <f>2.28</f>
        <v>2.28</v>
      </c>
      <c r="N57" s="30">
        <f t="shared" si="0"/>
        <v>0</v>
      </c>
      <c r="O57" s="21">
        <f t="shared" si="7"/>
        <v>29.18</v>
      </c>
      <c r="P57" s="21">
        <f t="shared" si="8"/>
        <v>2.28</v>
      </c>
      <c r="Q57" s="30">
        <f t="shared" si="1"/>
        <v>0.2186900305445192</v>
      </c>
      <c r="R57" s="11">
        <f t="shared" si="9"/>
        <v>0</v>
      </c>
      <c r="S57" s="11">
        <f t="shared" si="10"/>
        <v>0.0026181016466481407</v>
      </c>
      <c r="T57" s="11">
        <f t="shared" si="2"/>
        <v>0.0015133222142009574</v>
      </c>
      <c r="V57" s="16">
        <f t="shared" si="3"/>
        <v>3.7330632379909208</v>
      </c>
      <c r="W57" s="16"/>
      <c r="X57" s="16">
        <f t="shared" si="4"/>
        <v>31.46</v>
      </c>
      <c r="Z57" s="21">
        <f t="shared" si="5"/>
        <v>31.241309969455482</v>
      </c>
      <c r="AA57" s="30">
        <f t="shared" si="6"/>
        <v>2.061309969455481</v>
      </c>
    </row>
    <row r="58" spans="1:27" ht="12.75">
      <c r="A58" t="s">
        <v>21</v>
      </c>
      <c r="C58" t="s">
        <v>21</v>
      </c>
      <c r="G58" s="16"/>
      <c r="H58" s="16"/>
      <c r="I58" s="16">
        <f>8.76+0.94</f>
        <v>9.7</v>
      </c>
      <c r="J58" s="16"/>
      <c r="K58" s="16"/>
      <c r="L58" s="16"/>
      <c r="M58" s="16"/>
      <c r="N58" s="30">
        <f t="shared" si="0"/>
        <v>0</v>
      </c>
      <c r="O58" s="21">
        <f t="shared" si="7"/>
        <v>9.7</v>
      </c>
      <c r="P58" s="21">
        <f t="shared" si="8"/>
        <v>0</v>
      </c>
      <c r="Q58" s="30">
        <f t="shared" si="1"/>
        <v>0</v>
      </c>
      <c r="R58" s="11">
        <f t="shared" si="9"/>
        <v>0</v>
      </c>
      <c r="S58" s="11">
        <f t="shared" si="10"/>
        <v>0</v>
      </c>
      <c r="T58" s="11">
        <f t="shared" si="2"/>
        <v>0.000503057761403334</v>
      </c>
      <c r="V58" s="16">
        <f t="shared" si="3"/>
        <v>1.240942885829744</v>
      </c>
      <c r="W58" s="16"/>
      <c r="X58" s="16">
        <f t="shared" si="4"/>
        <v>9.7</v>
      </c>
      <c r="Z58" s="21">
        <f t="shared" si="5"/>
        <v>9.7</v>
      </c>
      <c r="AA58" s="30">
        <f t="shared" si="6"/>
        <v>0</v>
      </c>
    </row>
    <row r="59" spans="1:27" ht="12.75">
      <c r="A59" t="s">
        <v>21</v>
      </c>
      <c r="C59" t="s">
        <v>23</v>
      </c>
      <c r="G59" s="16"/>
      <c r="H59" s="16"/>
      <c r="I59" s="16">
        <f>19.26+0.55</f>
        <v>19.810000000000002</v>
      </c>
      <c r="J59" s="16"/>
      <c r="K59" s="16"/>
      <c r="L59" s="16"/>
      <c r="M59" s="16">
        <f>1.34</f>
        <v>1.34</v>
      </c>
      <c r="N59" s="30">
        <f t="shared" si="0"/>
        <v>0</v>
      </c>
      <c r="O59" s="21">
        <f t="shared" si="7"/>
        <v>19.810000000000002</v>
      </c>
      <c r="P59" s="21">
        <f t="shared" si="8"/>
        <v>1.34</v>
      </c>
      <c r="Q59" s="30">
        <f t="shared" si="1"/>
        <v>0.12852835128493673</v>
      </c>
      <c r="R59" s="11">
        <f t="shared" si="9"/>
        <v>0</v>
      </c>
      <c r="S59" s="11">
        <f t="shared" si="10"/>
        <v>0.001538708862503732</v>
      </c>
      <c r="T59" s="11">
        <f t="shared" si="2"/>
        <v>0.0010273787890103143</v>
      </c>
      <c r="V59" s="16">
        <f t="shared" si="3"/>
        <v>2.5343379967306428</v>
      </c>
      <c r="W59" s="16"/>
      <c r="X59" s="16">
        <f t="shared" si="4"/>
        <v>21.150000000000002</v>
      </c>
      <c r="Z59" s="21">
        <f t="shared" si="5"/>
        <v>21.021471648715064</v>
      </c>
      <c r="AA59" s="30">
        <f t="shared" si="6"/>
        <v>1.2114716487150634</v>
      </c>
    </row>
    <row r="60" spans="1:27" ht="12.75">
      <c r="A60" t="s">
        <v>21</v>
      </c>
      <c r="C60" t="s">
        <v>24</v>
      </c>
      <c r="E60" t="s">
        <v>25</v>
      </c>
      <c r="G60" s="16"/>
      <c r="H60" s="16"/>
      <c r="I60" s="16">
        <v>2.04</v>
      </c>
      <c r="J60" s="16"/>
      <c r="K60" s="16"/>
      <c r="L60" s="16"/>
      <c r="M60" s="16"/>
      <c r="N60" s="30">
        <f t="shared" si="0"/>
        <v>0</v>
      </c>
      <c r="O60" s="21">
        <f t="shared" si="7"/>
        <v>2.04</v>
      </c>
      <c r="P60" s="21">
        <f t="shared" si="8"/>
        <v>0</v>
      </c>
      <c r="Q60" s="30">
        <f t="shared" si="1"/>
        <v>0</v>
      </c>
      <c r="R60" s="11">
        <f t="shared" si="9"/>
        <v>0</v>
      </c>
      <c r="S60" s="11">
        <f t="shared" si="10"/>
        <v>0</v>
      </c>
      <c r="T60" s="11">
        <f t="shared" si="2"/>
        <v>0.00010579771476936097</v>
      </c>
      <c r="V60" s="16">
        <f t="shared" si="3"/>
        <v>0.26098180279305955</v>
      </c>
      <c r="W60" s="16"/>
      <c r="X60" s="16">
        <f t="shared" si="4"/>
        <v>2.04</v>
      </c>
      <c r="Z60" s="21">
        <f t="shared" si="5"/>
        <v>2.04</v>
      </c>
      <c r="AA60" s="30">
        <f t="shared" si="6"/>
        <v>0</v>
      </c>
    </row>
    <row r="61" spans="1:27" ht="12.75">
      <c r="A61" t="s">
        <v>21</v>
      </c>
      <c r="C61" t="s">
        <v>24</v>
      </c>
      <c r="E61" t="s">
        <v>65</v>
      </c>
      <c r="G61" s="16"/>
      <c r="H61" s="16"/>
      <c r="I61" s="16"/>
      <c r="J61" s="16"/>
      <c r="K61" s="16"/>
      <c r="L61" s="16"/>
      <c r="M61" s="16"/>
      <c r="N61" s="30">
        <f t="shared" si="0"/>
        <v>0</v>
      </c>
      <c r="O61" s="21">
        <f t="shared" si="7"/>
        <v>0</v>
      </c>
      <c r="P61" s="21">
        <f t="shared" si="8"/>
        <v>0</v>
      </c>
      <c r="Q61" s="30">
        <f t="shared" si="1"/>
        <v>0</v>
      </c>
      <c r="R61" s="11">
        <f t="shared" si="9"/>
        <v>0</v>
      </c>
      <c r="S61" s="11">
        <f t="shared" si="10"/>
        <v>0</v>
      </c>
      <c r="T61" s="11">
        <f t="shared" si="2"/>
        <v>0</v>
      </c>
      <c r="V61" s="16">
        <f t="shared" si="3"/>
        <v>0</v>
      </c>
      <c r="W61" s="16"/>
      <c r="X61" s="16">
        <f t="shared" si="4"/>
        <v>0</v>
      </c>
      <c r="Z61" s="21">
        <f t="shared" si="5"/>
        <v>0</v>
      </c>
      <c r="AA61" s="30">
        <f t="shared" si="6"/>
        <v>0</v>
      </c>
    </row>
    <row r="62" spans="1:27" ht="12.75">
      <c r="A62" t="s">
        <v>21</v>
      </c>
      <c r="C62" t="s">
        <v>26</v>
      </c>
      <c r="G62" s="16">
        <f>5908.86</f>
        <v>5908.86</v>
      </c>
      <c r="H62" s="16"/>
      <c r="I62" s="16">
        <f>639.08+1797.85</f>
        <v>2436.93</v>
      </c>
      <c r="J62" s="16"/>
      <c r="K62" s="16">
        <f>163.82</f>
        <v>163.82</v>
      </c>
      <c r="L62" s="16"/>
      <c r="M62" s="16">
        <f>21.69+159.89</f>
        <v>181.57999999999998</v>
      </c>
      <c r="N62" s="30">
        <f t="shared" si="0"/>
        <v>15.713070527983831</v>
      </c>
      <c r="O62" s="21">
        <f t="shared" si="7"/>
        <v>8345.789999999999</v>
      </c>
      <c r="P62" s="21">
        <f t="shared" si="8"/>
        <v>345.4</v>
      </c>
      <c r="Q62" s="30">
        <f t="shared" si="1"/>
        <v>17.41655076590956</v>
      </c>
      <c r="R62" s="11">
        <f t="shared" si="9"/>
        <v>0.1881128998920607</v>
      </c>
      <c r="S62" s="11">
        <f t="shared" si="10"/>
        <v>0.20850653377121464</v>
      </c>
      <c r="T62" s="11">
        <f t="shared" si="2"/>
        <v>0.43282623036518875</v>
      </c>
      <c r="V62" s="16">
        <f t="shared" si="3"/>
        <v>1067.6957450648472</v>
      </c>
      <c r="W62" s="16"/>
      <c r="X62" s="16">
        <f t="shared" si="4"/>
        <v>8691.189999999999</v>
      </c>
      <c r="Z62" s="21">
        <f t="shared" si="5"/>
        <v>8658.060378706106</v>
      </c>
      <c r="AA62" s="30">
        <f t="shared" si="6"/>
        <v>312.27037870610656</v>
      </c>
    </row>
    <row r="63" spans="1:27" ht="12.75">
      <c r="A63" t="s">
        <v>27</v>
      </c>
      <c r="C63" t="s">
        <v>28</v>
      </c>
      <c r="G63" s="16"/>
      <c r="H63" s="16"/>
      <c r="I63" s="16">
        <v>1.79</v>
      </c>
      <c r="J63" s="16"/>
      <c r="K63" s="16"/>
      <c r="L63" s="16"/>
      <c r="M63" s="16"/>
      <c r="N63" s="30">
        <f t="shared" si="0"/>
        <v>0</v>
      </c>
      <c r="O63" s="21">
        <f t="shared" si="7"/>
        <v>1.79</v>
      </c>
      <c r="P63" s="21">
        <f t="shared" si="8"/>
        <v>0</v>
      </c>
      <c r="Q63" s="30">
        <f t="shared" si="1"/>
        <v>0</v>
      </c>
      <c r="R63" s="11">
        <f t="shared" si="9"/>
        <v>0</v>
      </c>
      <c r="S63" s="11">
        <f t="shared" si="10"/>
        <v>0</v>
      </c>
      <c r="T63" s="11">
        <f t="shared" si="2"/>
        <v>9.283230854762555E-05</v>
      </c>
      <c r="V63" s="16">
        <f t="shared" si="3"/>
        <v>0.22899873872528265</v>
      </c>
      <c r="W63" s="16"/>
      <c r="X63" s="16">
        <f t="shared" si="4"/>
        <v>1.79</v>
      </c>
      <c r="Z63" s="21">
        <f t="shared" si="5"/>
        <v>1.79</v>
      </c>
      <c r="AA63" s="30">
        <f t="shared" si="6"/>
        <v>0</v>
      </c>
    </row>
    <row r="64" spans="1:27" ht="12.75">
      <c r="A64" t="s">
        <v>27</v>
      </c>
      <c r="C64" t="s">
        <v>96</v>
      </c>
      <c r="G64" s="16"/>
      <c r="H64" s="16"/>
      <c r="I64" s="16">
        <v>18.5</v>
      </c>
      <c r="J64" s="16"/>
      <c r="K64" s="16"/>
      <c r="L64" s="16"/>
      <c r="M64" s="16"/>
      <c r="N64" s="30">
        <f t="shared" si="0"/>
        <v>0</v>
      </c>
      <c r="O64" s="21">
        <f>SUM(G64:I64)</f>
        <v>18.5</v>
      </c>
      <c r="P64" s="21">
        <f>SUM(K64:M64)</f>
        <v>0</v>
      </c>
      <c r="Q64" s="30">
        <f t="shared" si="1"/>
        <v>0</v>
      </c>
      <c r="R64" s="11">
        <f>K64/$P$69</f>
        <v>0</v>
      </c>
      <c r="S64" s="11">
        <f>M64/$P$69</f>
        <v>0</v>
      </c>
      <c r="T64" s="11">
        <f>+O64/$O$69</f>
        <v>0.0009594400604084206</v>
      </c>
      <c r="V64" s="16">
        <f>+$V$69*T64</f>
        <v>2.366746741015491</v>
      </c>
      <c r="W64" s="16"/>
      <c r="X64" s="16">
        <f t="shared" si="4"/>
        <v>18.5</v>
      </c>
      <c r="Z64" s="21">
        <f t="shared" si="5"/>
        <v>18.5</v>
      </c>
      <c r="AA64" s="30">
        <f t="shared" si="6"/>
        <v>0</v>
      </c>
    </row>
    <row r="65" spans="1:27" ht="12.75">
      <c r="A65" t="s">
        <v>27</v>
      </c>
      <c r="C65" t="s">
        <v>102</v>
      </c>
      <c r="G65" s="16"/>
      <c r="H65" s="16"/>
      <c r="I65" s="16">
        <v>19.93</v>
      </c>
      <c r="J65" s="16"/>
      <c r="K65" s="16"/>
      <c r="L65" s="16"/>
      <c r="M65" s="16"/>
      <c r="N65" s="30">
        <f t="shared" si="0"/>
        <v>0</v>
      </c>
      <c r="O65" s="21">
        <f>SUM(G65:I65)</f>
        <v>19.93</v>
      </c>
      <c r="P65" s="21">
        <f>SUM(K65:M65)</f>
        <v>0</v>
      </c>
      <c r="Q65" s="30">
        <f t="shared" si="1"/>
        <v>0</v>
      </c>
      <c r="R65" s="11">
        <f>K65/$P$69</f>
        <v>0</v>
      </c>
      <c r="S65" s="11">
        <f>M65/$P$69</f>
        <v>0</v>
      </c>
      <c r="T65" s="11">
        <f>+O65/$O$69</f>
        <v>0.001033602183996747</v>
      </c>
      <c r="V65" s="16">
        <f>+$V$69*T65</f>
        <v>2.549689867483175</v>
      </c>
      <c r="W65" s="16"/>
      <c r="X65" s="16">
        <f t="shared" si="4"/>
        <v>19.93</v>
      </c>
      <c r="Z65" s="21">
        <f t="shared" si="5"/>
        <v>19.93</v>
      </c>
      <c r="AA65" s="30">
        <f t="shared" si="6"/>
        <v>0</v>
      </c>
    </row>
    <row r="66" spans="1:27" ht="12.75">
      <c r="A66" t="s">
        <v>27</v>
      </c>
      <c r="C66" t="s">
        <v>27</v>
      </c>
      <c r="G66" s="16"/>
      <c r="H66" s="16"/>
      <c r="I66" s="16">
        <f>10.26+2.04</f>
        <v>12.3</v>
      </c>
      <c r="J66" s="16"/>
      <c r="K66" s="16"/>
      <c r="L66" s="16"/>
      <c r="M66" s="16"/>
      <c r="N66" s="30">
        <f t="shared" si="0"/>
        <v>0</v>
      </c>
      <c r="O66" s="21">
        <f t="shared" si="7"/>
        <v>12.3</v>
      </c>
      <c r="P66" s="21">
        <f t="shared" si="8"/>
        <v>0</v>
      </c>
      <c r="Q66" s="30">
        <f t="shared" si="1"/>
        <v>0</v>
      </c>
      <c r="R66" s="11">
        <f t="shared" si="9"/>
        <v>0</v>
      </c>
      <c r="S66" s="11">
        <f t="shared" si="10"/>
        <v>0</v>
      </c>
      <c r="T66" s="11">
        <f t="shared" si="2"/>
        <v>0.0006378979861093824</v>
      </c>
      <c r="V66" s="16">
        <f t="shared" si="3"/>
        <v>1.5735667521346242</v>
      </c>
      <c r="W66" s="16"/>
      <c r="X66" s="16">
        <f t="shared" si="4"/>
        <v>12.3</v>
      </c>
      <c r="Z66" s="21">
        <f t="shared" si="5"/>
        <v>12.3</v>
      </c>
      <c r="AA66" s="30">
        <f t="shared" si="6"/>
        <v>0</v>
      </c>
    </row>
    <row r="67" spans="1:27" ht="12.75">
      <c r="A67" t="s">
        <v>27</v>
      </c>
      <c r="C67" t="s">
        <v>103</v>
      </c>
      <c r="G67" s="16"/>
      <c r="H67" s="16"/>
      <c r="I67" s="16">
        <f>23.15+40.47</f>
        <v>63.62</v>
      </c>
      <c r="J67" s="16"/>
      <c r="K67" s="16"/>
      <c r="L67" s="16"/>
      <c r="M67" s="16"/>
      <c r="N67" s="30">
        <f t="shared" si="0"/>
        <v>0</v>
      </c>
      <c r="O67" s="21">
        <f>SUM(G67:M67)</f>
        <v>63.62</v>
      </c>
      <c r="P67" s="21"/>
      <c r="Q67" s="30">
        <f t="shared" si="1"/>
        <v>0</v>
      </c>
      <c r="R67" s="11">
        <f>K67/$P$69</f>
        <v>0</v>
      </c>
      <c r="S67" s="11">
        <f>M67/$P$69</f>
        <v>0</v>
      </c>
      <c r="T67" s="11">
        <f t="shared" si="2"/>
        <v>0.003299436575307228</v>
      </c>
      <c r="V67" s="16">
        <f t="shared" si="3"/>
        <v>8.139050143967868</v>
      </c>
      <c r="W67" s="16"/>
      <c r="X67" s="16">
        <f t="shared" si="4"/>
        <v>63.62</v>
      </c>
      <c r="Z67" s="21">
        <f t="shared" si="5"/>
        <v>63.62</v>
      </c>
      <c r="AA67" s="30">
        <f t="shared" si="6"/>
        <v>0</v>
      </c>
    </row>
    <row r="68" spans="7:26" ht="12.75">
      <c r="G68" s="16"/>
      <c r="H68" s="16"/>
      <c r="I68" s="16"/>
      <c r="J68" s="16"/>
      <c r="K68" s="16"/>
      <c r="L68" s="16"/>
      <c r="M68" s="16"/>
      <c r="N68" s="16"/>
      <c r="O68" s="21"/>
      <c r="P68" s="21"/>
      <c r="T68" s="11"/>
      <c r="V68" s="16"/>
      <c r="W68" s="16"/>
      <c r="X68" s="16"/>
      <c r="Z68" s="21"/>
    </row>
    <row r="69" spans="1:28" s="5" customFormat="1" ht="13.5" thickBot="1">
      <c r="A69" s="5" t="s">
        <v>50</v>
      </c>
      <c r="G69" s="17">
        <f>SUM(G8:G67)</f>
        <v>12223.59</v>
      </c>
      <c r="H69" s="18"/>
      <c r="I69" s="17">
        <f>SUM(I8:I67)</f>
        <v>7058.490000000001</v>
      </c>
      <c r="J69" s="18"/>
      <c r="K69" s="17">
        <f>SUM(K8:K67)</f>
        <v>177.18</v>
      </c>
      <c r="L69" s="18"/>
      <c r="M69" s="17">
        <f>SUM(M8:M67)</f>
        <v>694.3199999999999</v>
      </c>
      <c r="N69" s="17">
        <f>SUM(N7:N67)</f>
        <v>16.994517373630664</v>
      </c>
      <c r="O69" s="17">
        <f>SUM(O9:O67)</f>
        <v>19282.08</v>
      </c>
      <c r="P69" s="17">
        <f>SUM(P9:P68)</f>
        <v>870.86</v>
      </c>
      <c r="Q69" s="17">
        <f>SUM(Q7:Q67)</f>
        <v>66.59686930160989</v>
      </c>
      <c r="R69" s="17"/>
      <c r="S69" s="29"/>
      <c r="T69" s="12"/>
      <c r="V69" s="17">
        <f>21748.88-O69</f>
        <v>2466.7999999999993</v>
      </c>
      <c r="W69" s="18"/>
      <c r="X69" s="17">
        <f>SUM(X7:X67)</f>
        <v>20153.579999999998</v>
      </c>
      <c r="Y69" s="15" t="s">
        <v>49</v>
      </c>
      <c r="Z69" s="17">
        <f>SUM(Z7:Z68)</f>
        <v>20069.98861332476</v>
      </c>
      <c r="AA69" s="17">
        <f>SUM(AA8:AA68)</f>
        <v>787.9086133247595</v>
      </c>
      <c r="AB69" s="33"/>
    </row>
    <row r="70" ht="13.5" thickTop="1"/>
    <row r="71" spans="1:27" ht="12.75">
      <c r="A71" s="22" t="s">
        <v>66</v>
      </c>
      <c r="B71" s="23"/>
      <c r="C71" s="22">
        <v>83.53</v>
      </c>
      <c r="D71" s="15" t="s">
        <v>68</v>
      </c>
      <c r="E71" s="34"/>
      <c r="F71" s="34"/>
      <c r="G71" s="34"/>
      <c r="H71" s="34"/>
      <c r="I71" s="34"/>
      <c r="J71" s="34"/>
      <c r="K71" s="34"/>
      <c r="L71" s="34"/>
      <c r="M71" s="35"/>
      <c r="N71" s="34"/>
      <c r="O71" s="34"/>
      <c r="P71" s="34"/>
      <c r="Q71" s="34"/>
      <c r="R71" s="34"/>
      <c r="S71" s="36"/>
      <c r="T71" s="34"/>
      <c r="U71" s="34"/>
      <c r="V71" s="34"/>
      <c r="W71" s="34"/>
      <c r="X71" s="19"/>
      <c r="Y71" s="37"/>
      <c r="Z71" s="34"/>
      <c r="AA71" s="34"/>
    </row>
    <row r="73" spans="1:14" ht="12.75">
      <c r="A73" t="s">
        <v>51</v>
      </c>
      <c r="B73" s="15"/>
      <c r="D73" s="15"/>
      <c r="G73" s="16"/>
      <c r="I73" s="16"/>
      <c r="K73" s="16"/>
      <c r="M73" s="10"/>
      <c r="N73" s="21"/>
    </row>
    <row r="74" spans="1:13" ht="12.75">
      <c r="A74" t="s">
        <v>52</v>
      </c>
      <c r="B74" s="15"/>
      <c r="D74" s="15"/>
      <c r="G74" s="16"/>
      <c r="I74" s="16"/>
      <c r="K74" s="16"/>
      <c r="M74" s="10"/>
    </row>
    <row r="75" spans="1:13" ht="13.5" customHeight="1">
      <c r="A75" t="s">
        <v>53</v>
      </c>
      <c r="B75" s="15"/>
      <c r="D75" s="15"/>
      <c r="G75" s="16"/>
      <c r="I75" s="16"/>
      <c r="K75" s="16"/>
      <c r="M75" s="10"/>
    </row>
    <row r="76" spans="1:13" ht="12.75">
      <c r="A76" s="38" t="s">
        <v>54</v>
      </c>
      <c r="B76" s="38"/>
      <c r="C76" s="38"/>
      <c r="D76" s="38"/>
      <c r="E76" s="38"/>
      <c r="G76" s="16"/>
      <c r="I76" s="16"/>
      <c r="K76" s="16"/>
      <c r="M76" s="10"/>
    </row>
    <row r="77" spans="1:13" ht="27" customHeight="1">
      <c r="A77" s="38"/>
      <c r="B77" s="38"/>
      <c r="C77" s="38"/>
      <c r="D77" s="38"/>
      <c r="E77" s="38"/>
      <c r="G77" s="16"/>
      <c r="I77" s="16"/>
      <c r="K77" s="16"/>
      <c r="M77" s="10"/>
    </row>
    <row r="78" spans="1:13" ht="12.75">
      <c r="A78" t="s">
        <v>55</v>
      </c>
      <c r="B78" s="15"/>
      <c r="D78" s="15"/>
      <c r="G78" s="16"/>
      <c r="I78" s="16"/>
      <c r="K78" s="16"/>
      <c r="M78" s="10"/>
    </row>
    <row r="79" spans="1:13" ht="12.75">
      <c r="A79" t="s">
        <v>56</v>
      </c>
      <c r="B79" s="15"/>
      <c r="D79" s="15"/>
      <c r="G79" s="16"/>
      <c r="I79" s="16"/>
      <c r="K79" s="16"/>
      <c r="M79" s="10"/>
    </row>
    <row r="80" ht="12.75">
      <c r="A80" t="s">
        <v>67</v>
      </c>
    </row>
  </sheetData>
  <mergeCells count="3">
    <mergeCell ref="A76:E77"/>
    <mergeCell ref="A1:AA1"/>
    <mergeCell ref="A2:AA2"/>
  </mergeCells>
  <printOptions horizontalCentered="1"/>
  <pageMargins left="0" right="0" top="1" bottom="1" header="0.5" footer="0.5"/>
  <pageSetup fitToHeight="1"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hs623901</dc:creator>
  <cp:keywords/>
  <dc:description/>
  <cp:lastModifiedBy>ALLIED WASTE</cp:lastModifiedBy>
  <cp:lastPrinted>2005-10-27T18:13:04Z</cp:lastPrinted>
  <dcterms:created xsi:type="dcterms:W3CDTF">2005-05-13T21:29:58Z</dcterms:created>
  <dcterms:modified xsi:type="dcterms:W3CDTF">2005-10-27T18:13:51Z</dcterms:modified>
  <cp:category/>
  <cp:version/>
  <cp:contentType/>
  <cp:contentStatus/>
</cp:coreProperties>
</file>