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0" windowWidth="12120" windowHeight="4770" activeTab="0"/>
  </bookViews>
  <sheets>
    <sheet name="ORIGIN SUMMARY 2" sheetId="1" r:id="rId1"/>
  </sheets>
  <definedNames/>
  <calcPr fullCalcOnLoad="1"/>
</workbook>
</file>

<file path=xl/sharedStrings.xml><?xml version="1.0" encoding="utf-8"?>
<sst xmlns="http://schemas.openxmlformats.org/spreadsheetml/2006/main" count="217" uniqueCount="115">
  <si>
    <t xml:space="preserve">C&amp;D  </t>
  </si>
  <si>
    <t>Grand Total</t>
  </si>
  <si>
    <t>FRANCHISE</t>
  </si>
  <si>
    <t>SELF-HAUL</t>
  </si>
  <si>
    <t>ALAMEDA</t>
  </si>
  <si>
    <t>CONTRA COSTA</t>
  </si>
  <si>
    <t>EL CERRITO</t>
  </si>
  <si>
    <t>HERCULES</t>
  </si>
  <si>
    <t>PINOLE</t>
  </si>
  <si>
    <t>RICHMOND</t>
  </si>
  <si>
    <t>SAN PABLO</t>
  </si>
  <si>
    <t>UNINCORPORATED CONTRA COSTA</t>
  </si>
  <si>
    <t>CROCKETT</t>
  </si>
  <si>
    <t>RODEO</t>
  </si>
  <si>
    <t>MARIN</t>
  </si>
  <si>
    <t>NOVATO</t>
  </si>
  <si>
    <t>SAN RAFAEL</t>
  </si>
  <si>
    <t>NAPA</t>
  </si>
  <si>
    <t>AMERICAN CANYON</t>
  </si>
  <si>
    <t>YOUNTVILLE</t>
  </si>
  <si>
    <t>SAN MATEO</t>
  </si>
  <si>
    <t>SOLANO</t>
  </si>
  <si>
    <t>FAIRFIELD</t>
  </si>
  <si>
    <t>SUISUN</t>
  </si>
  <si>
    <t>UNINCORPORATED SOLANO</t>
  </si>
  <si>
    <t>CORDELIA</t>
  </si>
  <si>
    <t>VALLEJO</t>
  </si>
  <si>
    <t>SONOMA</t>
  </si>
  <si>
    <t>PETALUMA</t>
  </si>
  <si>
    <t>COUNTY</t>
  </si>
  <si>
    <t>CITY</t>
  </si>
  <si>
    <t>UNINCORPORATED</t>
  </si>
  <si>
    <t>OF ORIGIN</t>
  </si>
  <si>
    <t>SPECIFICS</t>
  </si>
  <si>
    <t>TONS</t>
  </si>
  <si>
    <t>MSW</t>
  </si>
  <si>
    <t>ORIGIN</t>
  </si>
  <si>
    <t>PERCENTAGE</t>
  </si>
  <si>
    <t>HIDE COLUMN</t>
  </si>
  <si>
    <t>ALLOCATION OF</t>
  </si>
  <si>
    <t xml:space="preserve">TOTAL </t>
  </si>
  <si>
    <t>FLAT DUMP FEE USING</t>
  </si>
  <si>
    <t>TONS PER</t>
  </si>
  <si>
    <t>KELLER DISPOSAL</t>
  </si>
  <si>
    <t>JURISDICTION</t>
  </si>
  <si>
    <t>(A)</t>
  </si>
  <si>
    <t>(B)</t>
  </si>
  <si>
    <t xml:space="preserve"> (C )</t>
  </si>
  <si>
    <t>(D)</t>
  </si>
  <si>
    <t>TOTAL</t>
  </si>
  <si>
    <t>NOTES:</t>
  </si>
  <si>
    <t>(A):  Tons come from Devlin Road report (based off of disposal tickets)</t>
  </si>
  <si>
    <t>(B):  Calculated by dividing each city's tons by total tons received in month.</t>
  </si>
  <si>
    <t>(C ): Flat Dump fee is converted to tons by taking the difference of Devlin Road tons received at Keller Canyon and the tons received at Devlin Road.  This delta is multiplied by (B) to allocate these tons to the appropriate jurisdiction.</t>
  </si>
  <si>
    <t>(D):  Calculated by adding (A) + (C ).</t>
  </si>
  <si>
    <t>(E):  Total tons reported to BOE by Keller Canyon Landfill including Non-MSW.</t>
  </si>
  <si>
    <t>HAYWARD</t>
  </si>
  <si>
    <t>CONCORD</t>
  </si>
  <si>
    <t>SAN RAMON</t>
  </si>
  <si>
    <t>EL SOBRANTE</t>
  </si>
  <si>
    <t>OAKLEY</t>
  </si>
  <si>
    <t>NAPA CITY</t>
  </si>
  <si>
    <t xml:space="preserve">UNINCORPORATED NAPA </t>
  </si>
  <si>
    <t>BENECIA</t>
  </si>
  <si>
    <t>MARE ISLAND</t>
  </si>
  <si>
    <t>YOLO</t>
  </si>
  <si>
    <t>UNINCORPORATED YOLO</t>
  </si>
  <si>
    <t>DAVIS</t>
  </si>
  <si>
    <t>C&amp; D RESIDUALS</t>
  </si>
  <si>
    <t>(F):  Amount of C&amp;D moved back into non-C&amp;D waste stream.</t>
  </si>
  <si>
    <t>ALAMO</t>
  </si>
  <si>
    <t>BAY POINT</t>
  </si>
  <si>
    <t>MENDOCINO</t>
  </si>
  <si>
    <t>FORT BRAGG</t>
  </si>
  <si>
    <t>SACRAMENTO</t>
  </si>
  <si>
    <t>BERKELEY</t>
  </si>
  <si>
    <t>ANTIOCH</t>
  </si>
  <si>
    <t>MARTINEZ</t>
  </si>
  <si>
    <t>PITTSBURG</t>
  </si>
  <si>
    <t>CORTE MADERA</t>
  </si>
  <si>
    <t>CALISTOGA</t>
  </si>
  <si>
    <t>ST HELENA</t>
  </si>
  <si>
    <t>PLACER</t>
  </si>
  <si>
    <t>UNINCORPORATED PLACER</t>
  </si>
  <si>
    <t>ROSEVILLE</t>
  </si>
  <si>
    <t>DALY CITY</t>
  </si>
  <si>
    <t xml:space="preserve">C&amp;D </t>
  </si>
  <si>
    <t>C&amp;D</t>
  </si>
  <si>
    <t>ORIGIN SELF-HAUL</t>
  </si>
  <si>
    <t>ORIGIN FRANCHISE</t>
  </si>
  <si>
    <t>C&amp;D  RESIDUAL</t>
  </si>
  <si>
    <t>OAKLAND</t>
  </si>
  <si>
    <t>DANVILLE</t>
  </si>
  <si>
    <t>ORINDA</t>
  </si>
  <si>
    <t>WALNUT CREEK</t>
  </si>
  <si>
    <t>OAKVILLE</t>
  </si>
  <si>
    <t>SANTA CLARA</t>
  </si>
  <si>
    <t>SAN JOSE</t>
  </si>
  <si>
    <t>SANTA ROSA</t>
  </si>
  <si>
    <t>BY</t>
  </si>
  <si>
    <t>PER JURISDICTION</t>
  </si>
  <si>
    <t>FAIRFAX</t>
  </si>
  <si>
    <t>SO. SAN FRANCISCO</t>
  </si>
  <si>
    <t>RIO VISTA</t>
  </si>
  <si>
    <t>PIEDMONT</t>
  </si>
  <si>
    <t>BRENTWOOD</t>
  </si>
  <si>
    <t>LAFAYETTE</t>
  </si>
  <si>
    <t>MORAGA</t>
  </si>
  <si>
    <t>WINDSOR</t>
  </si>
  <si>
    <t>ALBANY</t>
  </si>
  <si>
    <t>SEBASTOPOL</t>
  </si>
  <si>
    <t>PLEASANTON</t>
  </si>
  <si>
    <t>PLEASANT HILL</t>
  </si>
  <si>
    <t>TOTAL C&amp; D TONS DIVERTED</t>
  </si>
  <si>
    <t>LESS RESIDUALS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</si>
</sst>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000000000"/>
    <numFmt numFmtId="172" formatCode="0.000000000"/>
    <numFmt numFmtId="173" formatCode="0.0"/>
  </numFmts>
  <fonts count="3">
    <font>
      <sz val="10"/>
      <name val="Arial"/>
      <family val="0"/>
    </font>
    <font>
      <b/>
      <sz val="10"/>
      <name val="Arial"/>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43" fontId="1" fillId="0" borderId="1" xfId="15" applyFont="1" applyBorder="1" applyAlignment="1">
      <alignment horizontal="center"/>
    </xf>
    <xf numFmtId="43" fontId="1" fillId="0" borderId="0" xfId="15" applyFont="1" applyBorder="1" applyAlignment="1">
      <alignment horizontal="center"/>
    </xf>
    <xf numFmtId="43" fontId="1" fillId="0" borderId="2" xfId="15" applyFont="1" applyBorder="1" applyAlignment="1">
      <alignment horizontal="center"/>
    </xf>
    <xf numFmtId="43" fontId="1" fillId="0" borderId="3" xfId="15" applyFont="1" applyBorder="1" applyAlignment="1">
      <alignment horizontal="center"/>
    </xf>
    <xf numFmtId="0" fontId="1" fillId="0" borderId="0" xfId="0" applyFont="1" applyAlignment="1">
      <alignment/>
    </xf>
    <xf numFmtId="9" fontId="1" fillId="0" borderId="1" xfId="19" applyFont="1" applyBorder="1" applyAlignment="1">
      <alignment horizontal="center"/>
    </xf>
    <xf numFmtId="9" fontId="1" fillId="0" borderId="2" xfId="19" applyFont="1" applyBorder="1" applyAlignment="1">
      <alignment horizontal="center"/>
    </xf>
    <xf numFmtId="9" fontId="1" fillId="0" borderId="3" xfId="19" applyFont="1" applyBorder="1" applyAlignment="1">
      <alignment horizontal="center"/>
    </xf>
    <xf numFmtId="0" fontId="1" fillId="2" borderId="0" xfId="0" applyFont="1" applyFill="1" applyAlignment="1">
      <alignment/>
    </xf>
    <xf numFmtId="9" fontId="0" fillId="0" borderId="0" xfId="19" applyAlignment="1">
      <alignment/>
    </xf>
    <xf numFmtId="10" fontId="0" fillId="0" borderId="0" xfId="19" applyNumberFormat="1" applyAlignment="1">
      <alignment/>
    </xf>
    <xf numFmtId="10" fontId="1" fillId="0" borderId="4" xfId="0" applyNumberFormat="1" applyFont="1" applyBorder="1" applyAlignment="1">
      <alignment/>
    </xf>
    <xf numFmtId="43" fontId="2" fillId="0" borderId="0" xfId="15" applyFont="1" applyAlignment="1">
      <alignment horizontal="center"/>
    </xf>
    <xf numFmtId="9" fontId="2" fillId="0" borderId="0" xfId="19" applyFont="1" applyAlignment="1">
      <alignment horizontal="center"/>
    </xf>
    <xf numFmtId="0" fontId="2" fillId="0" borderId="0" xfId="0" applyFont="1" applyAlignment="1">
      <alignment horizontal="center"/>
    </xf>
    <xf numFmtId="43" fontId="0" fillId="0" borderId="0" xfId="15" applyAlignment="1">
      <alignment/>
    </xf>
    <xf numFmtId="43" fontId="1" fillId="0" borderId="4" xfId="15" applyFont="1" applyBorder="1" applyAlignment="1">
      <alignment/>
    </xf>
    <xf numFmtId="43" fontId="1" fillId="0" borderId="0" xfId="15" applyFont="1" applyAlignment="1">
      <alignment/>
    </xf>
    <xf numFmtId="0" fontId="1" fillId="0" borderId="0" xfId="0" applyFont="1" applyFill="1" applyAlignment="1">
      <alignment/>
    </xf>
    <xf numFmtId="43" fontId="0" fillId="0" borderId="0" xfId="15" applyFont="1" applyAlignment="1">
      <alignment/>
    </xf>
    <xf numFmtId="43" fontId="0" fillId="0" borderId="0" xfId="0" applyNumberFormat="1" applyAlignment="1">
      <alignment/>
    </xf>
    <xf numFmtId="0" fontId="1" fillId="3" borderId="0" xfId="0" applyFont="1" applyFill="1" applyAlignment="1">
      <alignment/>
    </xf>
    <xf numFmtId="0" fontId="0" fillId="3" borderId="0" xfId="0" applyFill="1" applyAlignment="1">
      <alignment/>
    </xf>
    <xf numFmtId="43" fontId="1" fillId="0" borderId="2" xfId="15" applyFont="1" applyFill="1" applyBorder="1" applyAlignment="1">
      <alignment horizontal="center"/>
    </xf>
    <xf numFmtId="10" fontId="1" fillId="0" borderId="1" xfId="19" applyNumberFormat="1" applyFont="1" applyBorder="1" applyAlignment="1">
      <alignment horizontal="center"/>
    </xf>
    <xf numFmtId="10" fontId="1" fillId="0" borderId="2" xfId="19" applyNumberFormat="1" applyFont="1" applyBorder="1" applyAlignment="1">
      <alignment horizontal="center"/>
    </xf>
    <xf numFmtId="10" fontId="1" fillId="0" borderId="3" xfId="19" applyNumberFormat="1" applyFont="1" applyBorder="1" applyAlignment="1">
      <alignment horizontal="center"/>
    </xf>
    <xf numFmtId="10" fontId="1" fillId="0" borderId="0" xfId="19" applyNumberFormat="1" applyFont="1" applyAlignment="1">
      <alignment/>
    </xf>
    <xf numFmtId="10" fontId="1" fillId="0" borderId="4" xfId="19" applyNumberFormat="1" applyFont="1" applyBorder="1" applyAlignment="1">
      <alignment/>
    </xf>
    <xf numFmtId="2" fontId="0" fillId="0" borderId="0" xfId="0" applyNumberFormat="1" applyAlignment="1">
      <alignment/>
    </xf>
    <xf numFmtId="43" fontId="1" fillId="0" borderId="5" xfId="15" applyFont="1" applyFill="1" applyBorder="1" applyAlignment="1">
      <alignment horizontal="center"/>
    </xf>
    <xf numFmtId="10" fontId="1" fillId="0" borderId="6" xfId="19" applyNumberFormat="1" applyFont="1" applyBorder="1" applyAlignment="1">
      <alignment horizontal="center"/>
    </xf>
    <xf numFmtId="43" fontId="1" fillId="0" borderId="0" xfId="0" applyNumberFormat="1" applyFont="1" applyAlignment="1">
      <alignment/>
    </xf>
    <xf numFmtId="0" fontId="0" fillId="0" borderId="0" xfId="0" applyAlignment="1">
      <alignment wrapText="1"/>
    </xf>
    <xf numFmtId="0" fontId="1" fillId="3" borderId="0" xfId="0" applyFont="1" applyFill="1" applyAlignment="1">
      <alignment horizontal="center"/>
    </xf>
    <xf numFmtId="0" fontId="0" fillId="0" borderId="0" xfId="0" applyFill="1" applyAlignment="1">
      <alignment/>
    </xf>
    <xf numFmtId="43" fontId="0" fillId="0" borderId="0" xfId="0" applyNumberFormat="1" applyFill="1" applyAlignment="1">
      <alignment/>
    </xf>
    <xf numFmtId="10" fontId="0" fillId="0" borderId="0" xfId="19" applyNumberFormat="1" applyFill="1" applyAlignment="1">
      <alignment/>
    </xf>
    <xf numFmtId="0" fontId="2" fillId="0"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86"/>
  <sheetViews>
    <sheetView tabSelected="1" zoomScale="75" zoomScaleNormal="75" workbookViewId="0" topLeftCell="D1">
      <pane ySplit="4" topLeftCell="BM52" activePane="bottomLeft" state="frozen"/>
      <selection pane="topLeft" activeCell="A1" sqref="A1"/>
      <selection pane="bottomLeft" activeCell="A1" sqref="A1:Z78"/>
    </sheetView>
  </sheetViews>
  <sheetFormatPr defaultColWidth="9.140625" defaultRowHeight="12.75"/>
  <cols>
    <col min="1" max="1" width="18.8515625" style="0" bestFit="1" customWidth="1"/>
    <col min="2" max="2" width="1.7109375" style="0" customWidth="1"/>
    <col min="3" max="3" width="34.00390625" style="0" bestFit="1" customWidth="1"/>
    <col min="4" max="4" width="1.7109375" style="0" customWidth="1"/>
    <col min="5" max="5" width="23.57421875" style="0" bestFit="1" customWidth="1"/>
    <col min="6" max="6" width="1.7109375" style="0" customWidth="1"/>
    <col min="7" max="7" width="19.57421875" style="0" hidden="1" customWidth="1"/>
    <col min="8" max="8" width="1.7109375" style="0" hidden="1" customWidth="1"/>
    <col min="9" max="9" width="12.421875" style="0" hidden="1" customWidth="1"/>
    <col min="10" max="10" width="1.7109375" style="0" customWidth="1"/>
    <col min="11" max="11" width="12.7109375" style="0" bestFit="1" customWidth="1"/>
    <col min="12" max="12" width="1.7109375" style="0" customWidth="1"/>
    <col min="13" max="13" width="12.421875" style="0" bestFit="1" customWidth="1"/>
    <col min="14" max="14" width="16.8515625" style="0" hidden="1" customWidth="1"/>
    <col min="15" max="16" width="16.28125" style="0" hidden="1" customWidth="1"/>
    <col min="17" max="17" width="17.28125" style="0" bestFit="1" customWidth="1"/>
    <col min="18" max="18" width="22.28125" style="0" bestFit="1" customWidth="1"/>
    <col min="19" max="19" width="21.421875" style="11" bestFit="1" customWidth="1"/>
    <col min="20" max="20" width="16.28125" style="0" hidden="1" customWidth="1"/>
    <col min="21" max="21" width="1.7109375" style="0" customWidth="1"/>
    <col min="22" max="22" width="27.57421875" style="0" hidden="1" customWidth="1"/>
    <col min="23" max="23" width="1.7109375" style="0" hidden="1" customWidth="1"/>
    <col min="24" max="24" width="18.00390625" style="0" hidden="1" customWidth="1"/>
    <col min="25" max="25" width="1.7109375" style="0" customWidth="1"/>
    <col min="26" max="26" width="34.00390625" style="0" bestFit="1" customWidth="1"/>
    <col min="28" max="28" width="12.28125" style="0" bestFit="1" customWidth="1"/>
  </cols>
  <sheetData>
    <row r="1" spans="1:26" ht="12.75">
      <c r="A1" s="1"/>
      <c r="B1" s="2"/>
      <c r="C1" s="1"/>
      <c r="D1" s="2"/>
      <c r="E1" s="1"/>
      <c r="G1" s="1" t="s">
        <v>2</v>
      </c>
      <c r="I1" s="1" t="s">
        <v>3</v>
      </c>
      <c r="K1" s="1" t="s">
        <v>2</v>
      </c>
      <c r="M1" s="1" t="s">
        <v>3</v>
      </c>
      <c r="N1" s="1" t="s">
        <v>2</v>
      </c>
      <c r="Q1" s="1" t="s">
        <v>90</v>
      </c>
      <c r="R1" s="25" t="s">
        <v>86</v>
      </c>
      <c r="S1" s="25" t="s">
        <v>86</v>
      </c>
      <c r="T1" s="6" t="s">
        <v>35</v>
      </c>
      <c r="V1" s="1" t="s">
        <v>39</v>
      </c>
      <c r="X1" s="1" t="s">
        <v>40</v>
      </c>
      <c r="Z1" s="1" t="s">
        <v>113</v>
      </c>
    </row>
    <row r="2" spans="1:26" ht="12.75">
      <c r="A2" s="3" t="s">
        <v>29</v>
      </c>
      <c r="B2" s="2"/>
      <c r="C2" s="3" t="s">
        <v>30</v>
      </c>
      <c r="D2" s="2"/>
      <c r="E2" s="3" t="s">
        <v>31</v>
      </c>
      <c r="G2" s="3" t="s">
        <v>35</v>
      </c>
      <c r="I2" s="3" t="s">
        <v>35</v>
      </c>
      <c r="K2" s="3" t="s">
        <v>0</v>
      </c>
      <c r="M2" s="3" t="s">
        <v>0</v>
      </c>
      <c r="N2" s="3" t="s">
        <v>90</v>
      </c>
      <c r="O2" s="24" t="s">
        <v>35</v>
      </c>
      <c r="P2" s="31" t="s">
        <v>87</v>
      </c>
      <c r="Q2" s="3" t="s">
        <v>99</v>
      </c>
      <c r="R2" s="32" t="s">
        <v>89</v>
      </c>
      <c r="S2" s="26" t="s">
        <v>88</v>
      </c>
      <c r="T2" s="7" t="s">
        <v>36</v>
      </c>
      <c r="V2" s="3" t="s">
        <v>41</v>
      </c>
      <c r="X2" s="3" t="s">
        <v>42</v>
      </c>
      <c r="Z2" s="3" t="s">
        <v>100</v>
      </c>
    </row>
    <row r="3" spans="1:26" ht="12.75">
      <c r="A3" s="4" t="s">
        <v>32</v>
      </c>
      <c r="B3" s="2"/>
      <c r="C3" s="4" t="s">
        <v>32</v>
      </c>
      <c r="D3" s="2"/>
      <c r="E3" s="4" t="s">
        <v>33</v>
      </c>
      <c r="G3" s="4" t="s">
        <v>34</v>
      </c>
      <c r="I3" s="4" t="s">
        <v>34</v>
      </c>
      <c r="K3" s="4" t="s">
        <v>34</v>
      </c>
      <c r="M3" s="4" t="s">
        <v>34</v>
      </c>
      <c r="N3" s="4" t="s">
        <v>34</v>
      </c>
      <c r="O3" s="19" t="s">
        <v>1</v>
      </c>
      <c r="P3" s="19" t="s">
        <v>1</v>
      </c>
      <c r="Q3" s="4" t="s">
        <v>44</v>
      </c>
      <c r="R3" s="27" t="s">
        <v>37</v>
      </c>
      <c r="S3" s="27" t="s">
        <v>37</v>
      </c>
      <c r="T3" s="8" t="s">
        <v>37</v>
      </c>
      <c r="V3" s="4" t="s">
        <v>43</v>
      </c>
      <c r="X3" s="4" t="s">
        <v>44</v>
      </c>
      <c r="Z3" s="4" t="s">
        <v>114</v>
      </c>
    </row>
    <row r="4" spans="7:24" s="5" customFormat="1" ht="12.75">
      <c r="G4" s="13" t="s">
        <v>45</v>
      </c>
      <c r="I4" s="13" t="s">
        <v>45</v>
      </c>
      <c r="K4" s="13" t="s">
        <v>45</v>
      </c>
      <c r="M4" s="13" t="s">
        <v>45</v>
      </c>
      <c r="O4" s="9" t="s">
        <v>38</v>
      </c>
      <c r="P4" s="9" t="s">
        <v>38</v>
      </c>
      <c r="S4" s="28"/>
      <c r="T4" s="14" t="s">
        <v>46</v>
      </c>
      <c r="V4" s="13" t="s">
        <v>47</v>
      </c>
      <c r="X4" s="13" t="s">
        <v>48</v>
      </c>
    </row>
    <row r="5" spans="1:26" ht="12.75">
      <c r="A5" t="s">
        <v>4</v>
      </c>
      <c r="C5" t="s">
        <v>109</v>
      </c>
      <c r="G5" s="16"/>
      <c r="H5" s="16"/>
      <c r="I5" s="16"/>
      <c r="J5" s="16"/>
      <c r="K5" s="16"/>
      <c r="L5" s="16"/>
      <c r="M5" s="16">
        <f>0.64</f>
        <v>0.64</v>
      </c>
      <c r="N5" s="30">
        <f>R5*$X$77</f>
        <v>0</v>
      </c>
      <c r="O5" s="21">
        <f>SUM(G5:I5)</f>
        <v>0</v>
      </c>
      <c r="P5" s="21">
        <f>SUM(K5:M5)</f>
        <v>0.64</v>
      </c>
      <c r="Q5" s="30">
        <f>($C$77*R5)+($C$77*S5)</f>
        <v>0.09172457633382775</v>
      </c>
      <c r="R5" s="11">
        <f>K5/$P$75</f>
        <v>0</v>
      </c>
      <c r="S5" s="11">
        <f>M5/$P$75</f>
        <v>0.0003153781334542283</v>
      </c>
      <c r="T5" s="11">
        <f>+O5/$O$75</f>
        <v>0</v>
      </c>
      <c r="V5" s="16">
        <f>+$V$75*T5</f>
        <v>0</v>
      </c>
      <c r="W5" s="16"/>
      <c r="X5" s="16">
        <f>+O5+V5</f>
        <v>0</v>
      </c>
      <c r="Z5" s="30">
        <f>K5+M5-Q5</f>
        <v>0.5482754236661722</v>
      </c>
    </row>
    <row r="6" spans="1:26" ht="12.75">
      <c r="A6" t="s">
        <v>4</v>
      </c>
      <c r="C6" t="s">
        <v>75</v>
      </c>
      <c r="G6" s="16"/>
      <c r="H6" s="16"/>
      <c r="I6" s="16">
        <f>1.97+10.54</f>
        <v>12.51</v>
      </c>
      <c r="J6" s="16"/>
      <c r="K6" s="16"/>
      <c r="L6" s="16"/>
      <c r="M6" s="16"/>
      <c r="N6" s="30">
        <f>R6*$X$77</f>
        <v>0</v>
      </c>
      <c r="O6" s="21">
        <f>SUM(G6:I6)</f>
        <v>12.51</v>
      </c>
      <c r="P6" s="21">
        <f>SUM(K6:M6)</f>
        <v>0</v>
      </c>
      <c r="Q6" s="30">
        <f aca="true" t="shared" si="0" ref="Q6:Q69">($C$77*R6)+($C$77*S6)</f>
        <v>0</v>
      </c>
      <c r="R6" s="11">
        <f>K6/$P$75</f>
        <v>0</v>
      </c>
      <c r="S6" s="11">
        <f>M6/$P$75</f>
        <v>0</v>
      </c>
      <c r="T6" s="11">
        <f>+O6/$O$75</f>
        <v>9.05081413556296E-05</v>
      </c>
      <c r="V6" s="16">
        <f>+$V$75*T6</f>
        <v>1.5120317247313835</v>
      </c>
      <c r="W6" s="16"/>
      <c r="X6" s="16">
        <f aca="true" t="shared" si="1" ref="X6:X47">+O6+V6</f>
        <v>14.022031724731383</v>
      </c>
      <c r="Z6" s="30">
        <f aca="true" t="shared" si="2" ref="Z6:Z69">K6+M6-Q6</f>
        <v>0</v>
      </c>
    </row>
    <row r="7" spans="1:26" ht="12.75">
      <c r="A7" t="s">
        <v>4</v>
      </c>
      <c r="C7" t="s">
        <v>56</v>
      </c>
      <c r="G7" s="16"/>
      <c r="H7" s="16"/>
      <c r="I7" s="16">
        <f>3.16+1.7+5.01+0.24+3.04+0.47</f>
        <v>13.620000000000003</v>
      </c>
      <c r="J7" s="16"/>
      <c r="K7" s="16"/>
      <c r="L7" s="16"/>
      <c r="M7" s="16"/>
      <c r="N7" s="30">
        <f aca="true" t="shared" si="3" ref="N7:N71">R7*$X$77</f>
        <v>0</v>
      </c>
      <c r="O7" s="21">
        <f aca="true" t="shared" si="4" ref="O7:O71">SUM(G7:I7)</f>
        <v>13.620000000000003</v>
      </c>
      <c r="P7" s="21">
        <f aca="true" t="shared" si="5" ref="P7:P71">SUM(K7:M7)</f>
        <v>0</v>
      </c>
      <c r="Q7" s="30">
        <f t="shared" si="0"/>
        <v>0</v>
      </c>
      <c r="R7" s="11">
        <f aca="true" t="shared" si="6" ref="R7:R71">K7/$P$75</f>
        <v>0</v>
      </c>
      <c r="S7" s="11">
        <f aca="true" t="shared" si="7" ref="S7:S71">M7/$P$75</f>
        <v>0</v>
      </c>
      <c r="T7" s="11">
        <f>+O7/$O$75</f>
        <v>9.853883974929461E-05</v>
      </c>
      <c r="V7" s="16">
        <f>+$V$75*T7</f>
        <v>1.6461928130169023</v>
      </c>
      <c r="W7" s="16"/>
      <c r="X7" s="16">
        <f t="shared" si="1"/>
        <v>15.266192813016906</v>
      </c>
      <c r="Z7" s="30">
        <f t="shared" si="2"/>
        <v>0</v>
      </c>
    </row>
    <row r="8" spans="1:26" ht="12.75">
      <c r="A8" t="s">
        <v>4</v>
      </c>
      <c r="C8" t="s">
        <v>104</v>
      </c>
      <c r="G8" s="16"/>
      <c r="H8" s="16"/>
      <c r="I8" s="16">
        <f>0.41</f>
        <v>0.41</v>
      </c>
      <c r="J8" s="16"/>
      <c r="K8" s="16"/>
      <c r="L8" s="16"/>
      <c r="M8" s="16"/>
      <c r="N8" s="30">
        <f>R8*$X$77</f>
        <v>0</v>
      </c>
      <c r="O8" s="21">
        <f>SUM(G8:I8)</f>
        <v>0.41</v>
      </c>
      <c r="P8" s="21">
        <f>SUM(K8:M8)</f>
        <v>0</v>
      </c>
      <c r="Q8" s="30">
        <f t="shared" si="0"/>
        <v>0</v>
      </c>
      <c r="R8" s="11">
        <f>K8/$P$75</f>
        <v>0</v>
      </c>
      <c r="S8" s="11">
        <f>M8/$P$75</f>
        <v>0</v>
      </c>
      <c r="T8" s="11">
        <f>+O8/$O$75</f>
        <v>2.9662940012636403E-06</v>
      </c>
      <c r="V8" s="16">
        <f>+$V$75*T8</f>
        <v>0.049554996573930234</v>
      </c>
      <c r="W8" s="16"/>
      <c r="X8" s="16">
        <f>+O8+V8</f>
        <v>0.45955499657393023</v>
      </c>
      <c r="Z8" s="30">
        <f t="shared" si="2"/>
        <v>0</v>
      </c>
    </row>
    <row r="9" spans="1:26" ht="12.75">
      <c r="A9" t="s">
        <v>4</v>
      </c>
      <c r="C9" t="s">
        <v>91</v>
      </c>
      <c r="G9" s="16"/>
      <c r="H9" s="16"/>
      <c r="I9" s="16">
        <f>4.18+2.89+3.42+8.72+10.75</f>
        <v>29.96</v>
      </c>
      <c r="J9" s="16"/>
      <c r="K9" s="16"/>
      <c r="L9" s="16"/>
      <c r="M9" s="16"/>
      <c r="N9" s="30">
        <f>R9*$X$77</f>
        <v>0</v>
      </c>
      <c r="O9" s="21">
        <f>SUM(G9:I9)</f>
        <v>29.96</v>
      </c>
      <c r="P9" s="21">
        <f>SUM(K9:M9)</f>
        <v>0</v>
      </c>
      <c r="Q9" s="30">
        <f t="shared" si="0"/>
        <v>0</v>
      </c>
      <c r="R9" s="11">
        <f>K9/$P$75</f>
        <v>0</v>
      </c>
      <c r="S9" s="11">
        <f>M9/$P$75</f>
        <v>0</v>
      </c>
      <c r="T9" s="11">
        <f>+O9/$O$75</f>
        <v>0.00021675650799477723</v>
      </c>
      <c r="V9" s="16">
        <f>+$V$75*T9</f>
        <v>3.6211407252559753</v>
      </c>
      <c r="W9" s="16"/>
      <c r="X9" s="16">
        <f t="shared" si="1"/>
        <v>33.58114072525598</v>
      </c>
      <c r="Z9" s="30">
        <f t="shared" si="2"/>
        <v>0</v>
      </c>
    </row>
    <row r="10" spans="1:26" ht="12.75">
      <c r="A10" t="s">
        <v>4</v>
      </c>
      <c r="C10" t="s">
        <v>111</v>
      </c>
      <c r="G10" s="16"/>
      <c r="H10" s="16"/>
      <c r="I10" s="16">
        <f>0.83+0.3</f>
        <v>1.13</v>
      </c>
      <c r="J10" s="16"/>
      <c r="K10" s="16"/>
      <c r="L10" s="16"/>
      <c r="M10" s="16"/>
      <c r="N10" s="30">
        <f>R10*$X$77</f>
        <v>0</v>
      </c>
      <c r="O10" s="21">
        <f>SUM(G10:I10)</f>
        <v>1.13</v>
      </c>
      <c r="P10" s="21">
        <f>SUM(K10:M10)</f>
        <v>0</v>
      </c>
      <c r="Q10" s="30">
        <f t="shared" si="0"/>
        <v>0</v>
      </c>
      <c r="R10" s="11">
        <f>K10/$P$75</f>
        <v>0</v>
      </c>
      <c r="S10" s="11">
        <f>M10/$P$75</f>
        <v>0</v>
      </c>
      <c r="T10" s="11">
        <f>+O10/$O$75</f>
        <v>8.1753956620193E-06</v>
      </c>
      <c r="V10" s="16">
        <f>+$V$75*T10</f>
        <v>0.1365784051915638</v>
      </c>
      <c r="W10" s="16"/>
      <c r="X10" s="16">
        <f>+O10+V10</f>
        <v>1.2665784051915636</v>
      </c>
      <c r="Z10" s="30">
        <f t="shared" si="2"/>
        <v>0</v>
      </c>
    </row>
    <row r="11" spans="1:26" ht="12.75">
      <c r="A11" t="s">
        <v>5</v>
      </c>
      <c r="C11" t="s">
        <v>76</v>
      </c>
      <c r="G11" s="16"/>
      <c r="H11" s="16"/>
      <c r="I11" s="16">
        <f>0.41+0.26</f>
        <v>0.6699999999999999</v>
      </c>
      <c r="J11" s="16"/>
      <c r="K11" s="16"/>
      <c r="L11" s="16"/>
      <c r="M11" s="16"/>
      <c r="N11" s="30">
        <f t="shared" si="3"/>
        <v>0</v>
      </c>
      <c r="O11" s="21">
        <f t="shared" si="4"/>
        <v>0.6699999999999999</v>
      </c>
      <c r="P11" s="21">
        <f t="shared" si="5"/>
        <v>0</v>
      </c>
      <c r="Q11" s="30">
        <f t="shared" si="0"/>
        <v>0</v>
      </c>
      <c r="R11" s="11">
        <f t="shared" si="6"/>
        <v>0</v>
      </c>
      <c r="S11" s="11">
        <f t="shared" si="7"/>
        <v>0</v>
      </c>
      <c r="T11" s="11">
        <f>+O11/$O$75</f>
        <v>4.84735848986985E-06</v>
      </c>
      <c r="V11" s="16">
        <f>+$V$75*T11</f>
        <v>0.08098011635252013</v>
      </c>
      <c r="W11" s="16"/>
      <c r="X11" s="16">
        <f t="shared" si="1"/>
        <v>0.75098011635252</v>
      </c>
      <c r="Z11" s="30">
        <f t="shared" si="2"/>
        <v>0</v>
      </c>
    </row>
    <row r="12" spans="1:26" ht="12.75">
      <c r="A12" t="s">
        <v>5</v>
      </c>
      <c r="C12" t="s">
        <v>105</v>
      </c>
      <c r="G12" s="16"/>
      <c r="H12" s="16"/>
      <c r="I12" s="16">
        <f>1.01</f>
        <v>1.01</v>
      </c>
      <c r="J12" s="16"/>
      <c r="K12" s="16"/>
      <c r="L12" s="16"/>
      <c r="M12" s="16"/>
      <c r="N12" s="30">
        <f>R12*$X$77</f>
        <v>0</v>
      </c>
      <c r="O12" s="21">
        <f>SUM(G12:I12)</f>
        <v>1.01</v>
      </c>
      <c r="P12" s="21">
        <f>SUM(K12:M12)</f>
        <v>0</v>
      </c>
      <c r="Q12" s="30">
        <f t="shared" si="0"/>
        <v>0</v>
      </c>
      <c r="R12" s="11">
        <f>K12/$P$75</f>
        <v>0</v>
      </c>
      <c r="S12" s="11">
        <f>M12/$P$75</f>
        <v>0</v>
      </c>
      <c r="T12" s="11">
        <f>+O12/$O$75</f>
        <v>7.307212051893358E-06</v>
      </c>
      <c r="V12" s="16">
        <f>+$V$75*T12</f>
        <v>0.12207450375529157</v>
      </c>
      <c r="W12" s="16"/>
      <c r="X12" s="16">
        <f>+O12+V12</f>
        <v>1.1320745037552915</v>
      </c>
      <c r="Z12" s="30">
        <f t="shared" si="2"/>
        <v>0</v>
      </c>
    </row>
    <row r="13" spans="1:26" ht="12.75">
      <c r="A13" t="s">
        <v>5</v>
      </c>
      <c r="C13" t="s">
        <v>57</v>
      </c>
      <c r="G13" s="16"/>
      <c r="H13" s="16"/>
      <c r="I13" s="16">
        <f>19.61+3.12+8.69+11.67+0.24+22.31+1.75+17.78</f>
        <v>85.17</v>
      </c>
      <c r="J13" s="16"/>
      <c r="K13" s="16"/>
      <c r="L13" s="16"/>
      <c r="M13" s="16">
        <f>0.22</f>
        <v>0.22</v>
      </c>
      <c r="N13" s="30">
        <f t="shared" si="3"/>
        <v>0</v>
      </c>
      <c r="O13" s="21">
        <f t="shared" si="4"/>
        <v>85.17</v>
      </c>
      <c r="P13" s="21">
        <f t="shared" si="5"/>
        <v>0.22</v>
      </c>
      <c r="Q13" s="30">
        <f t="shared" si="0"/>
        <v>0.03153032311475329</v>
      </c>
      <c r="R13" s="11">
        <f t="shared" si="6"/>
        <v>0</v>
      </c>
      <c r="S13" s="11">
        <f t="shared" si="7"/>
        <v>0.00010841123337489098</v>
      </c>
      <c r="T13" s="11">
        <f>+O13/$O$75</f>
        <v>0.0006161933172868884</v>
      </c>
      <c r="V13" s="16">
        <f>+$V$75*T13</f>
        <v>10.29414404439424</v>
      </c>
      <c r="W13" s="16"/>
      <c r="X13" s="16">
        <f t="shared" si="1"/>
        <v>95.46414404439425</v>
      </c>
      <c r="Z13" s="30">
        <f t="shared" si="2"/>
        <v>0.1884696768852467</v>
      </c>
    </row>
    <row r="14" spans="1:26" ht="12.75">
      <c r="A14" t="s">
        <v>5</v>
      </c>
      <c r="C14" t="s">
        <v>92</v>
      </c>
      <c r="G14" s="16"/>
      <c r="H14" s="16"/>
      <c r="I14" s="16">
        <f>1.28+1.15+0.36</f>
        <v>2.7899999999999996</v>
      </c>
      <c r="J14" s="16"/>
      <c r="K14" s="16"/>
      <c r="L14" s="16"/>
      <c r="M14" s="16"/>
      <c r="N14" s="30">
        <f>R14*$X$77</f>
        <v>0</v>
      </c>
      <c r="O14" s="21">
        <f>SUM(G14:I14)</f>
        <v>2.7899999999999996</v>
      </c>
      <c r="P14" s="21">
        <f>SUM(K14:M14)</f>
        <v>0</v>
      </c>
      <c r="Q14" s="30">
        <f t="shared" si="0"/>
        <v>0</v>
      </c>
      <c r="R14" s="11">
        <f>K14/$P$75</f>
        <v>0</v>
      </c>
      <c r="S14" s="11">
        <f>M14/$P$75</f>
        <v>0</v>
      </c>
      <c r="T14" s="11">
        <f>+O14/$O$75</f>
        <v>2.0185268935428185E-05</v>
      </c>
      <c r="V14" s="16">
        <f>+$V$75*T14</f>
        <v>0.3372157083933301</v>
      </c>
      <c r="W14" s="16"/>
      <c r="X14" s="16">
        <f t="shared" si="1"/>
        <v>3.12721570839333</v>
      </c>
      <c r="Z14" s="30">
        <f t="shared" si="2"/>
        <v>0</v>
      </c>
    </row>
    <row r="15" spans="1:26" ht="12.75">
      <c r="A15" t="s">
        <v>5</v>
      </c>
      <c r="C15" t="s">
        <v>6</v>
      </c>
      <c r="G15" s="16"/>
      <c r="H15" s="16"/>
      <c r="I15" s="16">
        <f>3.46+3.43+1.41+0.75+1.67+10.63+23.21+4.72</f>
        <v>49.28</v>
      </c>
      <c r="J15" s="16"/>
      <c r="K15" s="16"/>
      <c r="L15" s="16"/>
      <c r="M15" s="16"/>
      <c r="N15" s="30">
        <f t="shared" si="3"/>
        <v>0</v>
      </c>
      <c r="O15" s="21">
        <f t="shared" si="4"/>
        <v>49.28</v>
      </c>
      <c r="P15" s="21">
        <f t="shared" si="5"/>
        <v>0</v>
      </c>
      <c r="Q15" s="30">
        <f t="shared" si="0"/>
        <v>0</v>
      </c>
      <c r="R15" s="11">
        <f t="shared" si="6"/>
        <v>0</v>
      </c>
      <c r="S15" s="11">
        <f t="shared" si="7"/>
        <v>0</v>
      </c>
      <c r="T15" s="11">
        <f>+O15/$O$75</f>
        <v>0.0003565340692250541</v>
      </c>
      <c r="V15" s="16">
        <f>+$V$75*T15</f>
        <v>5.95626885649581</v>
      </c>
      <c r="W15" s="16"/>
      <c r="X15" s="16">
        <f t="shared" si="1"/>
        <v>55.23626885649581</v>
      </c>
      <c r="Z15" s="30">
        <f t="shared" si="2"/>
        <v>0</v>
      </c>
    </row>
    <row r="16" spans="1:26" ht="12.75">
      <c r="A16" t="s">
        <v>5</v>
      </c>
      <c r="C16" t="s">
        <v>7</v>
      </c>
      <c r="G16" s="16"/>
      <c r="H16" s="16"/>
      <c r="I16" s="16">
        <f>1.2+2.83+2.39+6.49+6.13+0.74+1.59</f>
        <v>21.369999999999997</v>
      </c>
      <c r="J16" s="16"/>
      <c r="K16" s="16"/>
      <c r="L16" s="16"/>
      <c r="M16" s="16">
        <f>0.64+0.46</f>
        <v>1.1</v>
      </c>
      <c r="N16" s="30">
        <f t="shared" si="3"/>
        <v>0</v>
      </c>
      <c r="O16" s="21">
        <f t="shared" si="4"/>
        <v>21.369999999999997</v>
      </c>
      <c r="P16" s="21">
        <f t="shared" si="5"/>
        <v>1.1</v>
      </c>
      <c r="Q16" s="30">
        <f t="shared" si="0"/>
        <v>0.15765161557376647</v>
      </c>
      <c r="R16" s="11">
        <f t="shared" si="6"/>
        <v>0</v>
      </c>
      <c r="S16" s="11">
        <f t="shared" si="7"/>
        <v>0.000542056166874455</v>
      </c>
      <c r="T16" s="11">
        <f>+O16/$O$75</f>
        <v>0.0001546090312365951</v>
      </c>
      <c r="V16" s="16">
        <f>+$V$75*T16</f>
        <v>2.5829031141094854</v>
      </c>
      <c r="W16" s="16"/>
      <c r="X16" s="16">
        <f t="shared" si="1"/>
        <v>23.952903114109482</v>
      </c>
      <c r="Z16" s="30">
        <f t="shared" si="2"/>
        <v>0.9423483844262336</v>
      </c>
    </row>
    <row r="17" spans="1:26" ht="12.75">
      <c r="A17" t="s">
        <v>5</v>
      </c>
      <c r="C17" t="s">
        <v>106</v>
      </c>
      <c r="G17" s="16"/>
      <c r="H17" s="16"/>
      <c r="I17" s="16">
        <f>6.5+2.1</f>
        <v>8.6</v>
      </c>
      <c r="J17" s="16"/>
      <c r="K17" s="16"/>
      <c r="L17" s="16"/>
      <c r="M17" s="16"/>
      <c r="N17" s="30">
        <f>R17*$X$77</f>
        <v>0</v>
      </c>
      <c r="O17" s="21">
        <f>SUM(G17:I17)</f>
        <v>8.6</v>
      </c>
      <c r="P17" s="21">
        <f>SUM(K17:M17)</f>
        <v>0</v>
      </c>
      <c r="Q17" s="30">
        <f t="shared" si="0"/>
        <v>0</v>
      </c>
      <c r="R17" s="11">
        <f>K17/$P$75</f>
        <v>0</v>
      </c>
      <c r="S17" s="11">
        <f>M17/$P$75</f>
        <v>0</v>
      </c>
      <c r="T17" s="11">
        <f>+O17/$O$75</f>
        <v>6.221982539235929E-05</v>
      </c>
      <c r="V17" s="16">
        <f>+$V$75*T17</f>
        <v>1.0394462695995124</v>
      </c>
      <c r="W17" s="16"/>
      <c r="X17" s="16">
        <f>+O17+V17</f>
        <v>9.639446269599512</v>
      </c>
      <c r="Z17" s="30">
        <f t="shared" si="2"/>
        <v>0</v>
      </c>
    </row>
    <row r="18" spans="1:26" ht="12.75">
      <c r="A18" t="s">
        <v>5</v>
      </c>
      <c r="C18" t="s">
        <v>77</v>
      </c>
      <c r="G18" s="16"/>
      <c r="H18" s="16"/>
      <c r="I18" s="16">
        <f>8.52+0.26+0.4+3.66</f>
        <v>12.84</v>
      </c>
      <c r="J18" s="16"/>
      <c r="K18" s="16"/>
      <c r="L18" s="16"/>
      <c r="M18" s="16">
        <f>2.25</f>
        <v>2.25</v>
      </c>
      <c r="N18" s="30">
        <f t="shared" si="3"/>
        <v>0</v>
      </c>
      <c r="O18" s="21">
        <f t="shared" si="4"/>
        <v>12.84</v>
      </c>
      <c r="P18" s="21">
        <f t="shared" si="5"/>
        <v>2.25</v>
      </c>
      <c r="Q18" s="30">
        <f t="shared" si="0"/>
        <v>0.32246921367361314</v>
      </c>
      <c r="R18" s="11">
        <f t="shared" si="6"/>
        <v>0</v>
      </c>
      <c r="S18" s="11">
        <f t="shared" si="7"/>
        <v>0.0011087512504250213</v>
      </c>
      <c r="T18" s="11">
        <f>+O18/$O$75</f>
        <v>9.289564628347595E-05</v>
      </c>
      <c r="V18" s="16">
        <f>+$V$75*T18</f>
        <v>1.5519174536811322</v>
      </c>
      <c r="W18" s="16"/>
      <c r="X18" s="16">
        <f t="shared" si="1"/>
        <v>14.391917453681131</v>
      </c>
      <c r="Z18" s="30">
        <f t="shared" si="2"/>
        <v>1.9275307863263869</v>
      </c>
    </row>
    <row r="19" spans="1:26" ht="12.75">
      <c r="A19" t="s">
        <v>5</v>
      </c>
      <c r="C19" t="s">
        <v>107</v>
      </c>
      <c r="G19" s="16"/>
      <c r="H19" s="16"/>
      <c r="I19" s="16">
        <f>15.36+3.07</f>
        <v>18.43</v>
      </c>
      <c r="J19" s="16"/>
      <c r="K19" s="16"/>
      <c r="L19" s="16"/>
      <c r="M19" s="16"/>
      <c r="N19" s="30">
        <f>R19*$X$77</f>
        <v>0</v>
      </c>
      <c r="O19" s="21">
        <f>SUM(G19:I19)</f>
        <v>18.43</v>
      </c>
      <c r="P19" s="21">
        <f>SUM(K19:M19)</f>
        <v>0</v>
      </c>
      <c r="Q19" s="30">
        <f t="shared" si="0"/>
        <v>0</v>
      </c>
      <c r="R19" s="11">
        <f>K19/$P$75</f>
        <v>0</v>
      </c>
      <c r="S19" s="11">
        <f>M19/$P$75</f>
        <v>0</v>
      </c>
      <c r="T19" s="11">
        <f>+O19/$O$75</f>
        <v>0.00013333853278850948</v>
      </c>
      <c r="V19" s="16">
        <f>+$V$75*T19</f>
        <v>2.227557528920815</v>
      </c>
      <c r="W19" s="16"/>
      <c r="X19" s="16">
        <f>+O19+V19</f>
        <v>20.657557528920815</v>
      </c>
      <c r="Z19" s="30">
        <f t="shared" si="2"/>
        <v>0</v>
      </c>
    </row>
    <row r="20" spans="1:26" ht="12.75">
      <c r="A20" t="s">
        <v>5</v>
      </c>
      <c r="C20" t="s">
        <v>93</v>
      </c>
      <c r="G20" s="16"/>
      <c r="H20" s="16"/>
      <c r="I20" s="16">
        <f>2.84+2.76+4.34</f>
        <v>9.94</v>
      </c>
      <c r="J20" s="16"/>
      <c r="K20" s="16"/>
      <c r="L20" s="16"/>
      <c r="M20" s="16"/>
      <c r="N20" s="30">
        <f>R20*$X$77</f>
        <v>0</v>
      </c>
      <c r="O20" s="21">
        <f>SUM(G20:I20)</f>
        <v>9.94</v>
      </c>
      <c r="P20" s="21">
        <f>SUM(K20:M20)</f>
        <v>0</v>
      </c>
      <c r="Q20" s="30">
        <f t="shared" si="0"/>
        <v>0</v>
      </c>
      <c r="R20" s="11">
        <f>K20/$P$75</f>
        <v>0</v>
      </c>
      <c r="S20" s="11">
        <f>M20/$P$75</f>
        <v>0</v>
      </c>
      <c r="T20" s="11">
        <f>+O20/$O$75</f>
        <v>7.191454237209898E-05</v>
      </c>
      <c r="V20" s="16">
        <f>+$V$75*T20</f>
        <v>1.2014065023045524</v>
      </c>
      <c r="W20" s="16"/>
      <c r="X20" s="16">
        <f t="shared" si="1"/>
        <v>11.141406502304552</v>
      </c>
      <c r="Z20" s="30">
        <f t="shared" si="2"/>
        <v>0</v>
      </c>
    </row>
    <row r="21" spans="1:26" ht="12.75">
      <c r="A21" t="s">
        <v>5</v>
      </c>
      <c r="C21" t="s">
        <v>8</v>
      </c>
      <c r="G21" s="16"/>
      <c r="H21" s="16"/>
      <c r="I21" s="16">
        <f>0.18+2.4+1.85+0.43+1.62+1.37+1.84</f>
        <v>9.69</v>
      </c>
      <c r="J21" s="16"/>
      <c r="K21" s="16"/>
      <c r="L21" s="16"/>
      <c r="M21" s="16"/>
      <c r="N21" s="30">
        <f>R21*$X$77</f>
        <v>0</v>
      </c>
      <c r="O21" s="21">
        <f>SUM(G21:I21)</f>
        <v>9.69</v>
      </c>
      <c r="P21" s="21">
        <f>SUM(K21:M21)</f>
        <v>0</v>
      </c>
      <c r="Q21" s="30">
        <f t="shared" si="0"/>
        <v>0</v>
      </c>
      <c r="R21" s="11">
        <f>K21/$P$75</f>
        <v>0</v>
      </c>
      <c r="S21" s="11">
        <f>M21/$P$75</f>
        <v>0</v>
      </c>
      <c r="T21" s="11">
        <f>+O21/$O$75</f>
        <v>7.010582651766993E-05</v>
      </c>
      <c r="V21" s="16">
        <f>+$V$75*T21</f>
        <v>1.1711900409789853</v>
      </c>
      <c r="W21" s="16"/>
      <c r="X21" s="16">
        <f t="shared" si="1"/>
        <v>10.861190040978984</v>
      </c>
      <c r="Z21" s="30">
        <f t="shared" si="2"/>
        <v>0</v>
      </c>
    </row>
    <row r="22" spans="1:26" ht="12.75">
      <c r="A22" t="s">
        <v>5</v>
      </c>
      <c r="C22" t="s">
        <v>78</v>
      </c>
      <c r="G22" s="16"/>
      <c r="H22" s="16"/>
      <c r="I22" s="16">
        <f>5.82+1.62+0.98+2.94+4.04</f>
        <v>15.399999999999999</v>
      </c>
      <c r="J22" s="16"/>
      <c r="K22" s="16"/>
      <c r="L22" s="16"/>
      <c r="M22" s="16"/>
      <c r="N22" s="30">
        <f t="shared" si="3"/>
        <v>0</v>
      </c>
      <c r="O22" s="21">
        <f t="shared" si="4"/>
        <v>15.399999999999999</v>
      </c>
      <c r="P22" s="21">
        <f t="shared" si="5"/>
        <v>0</v>
      </c>
      <c r="Q22" s="30">
        <f t="shared" si="0"/>
        <v>0</v>
      </c>
      <c r="R22" s="11">
        <f t="shared" si="6"/>
        <v>0</v>
      </c>
      <c r="S22" s="11">
        <f t="shared" si="7"/>
        <v>0</v>
      </c>
      <c r="T22" s="11">
        <f>+O22/$O$75</f>
        <v>0.0001114168966328294</v>
      </c>
      <c r="V22" s="16">
        <f>+$V$75*T22</f>
        <v>1.8613340176549404</v>
      </c>
      <c r="W22" s="16"/>
      <c r="X22" s="16">
        <f t="shared" si="1"/>
        <v>17.26133401765494</v>
      </c>
      <c r="Z22" s="30">
        <f t="shared" si="2"/>
        <v>0</v>
      </c>
    </row>
    <row r="23" spans="1:26" ht="12.75">
      <c r="A23" t="s">
        <v>5</v>
      </c>
      <c r="C23" t="s">
        <v>112</v>
      </c>
      <c r="G23" s="16"/>
      <c r="H23" s="16"/>
      <c r="I23" s="16">
        <f>3.89</f>
        <v>3.89</v>
      </c>
      <c r="J23" s="16"/>
      <c r="K23" s="16"/>
      <c r="L23" s="16"/>
      <c r="M23" s="16"/>
      <c r="N23" s="30">
        <f>R23*$X$77</f>
        <v>0</v>
      </c>
      <c r="O23" s="21">
        <f>SUM(G23:I23)</f>
        <v>3.89</v>
      </c>
      <c r="P23" s="21">
        <f>SUM(K23:M23)</f>
        <v>0</v>
      </c>
      <c r="Q23" s="30">
        <f t="shared" si="0"/>
        <v>0</v>
      </c>
      <c r="R23" s="11">
        <f>K23/$P$75</f>
        <v>0</v>
      </c>
      <c r="S23" s="11">
        <f>M23/$P$75</f>
        <v>0</v>
      </c>
      <c r="T23" s="11">
        <f>+O23/$O$75</f>
        <v>2.8143618694916003E-05</v>
      </c>
      <c r="V23" s="16">
        <f>+$V$75*T23</f>
        <v>0.4701681382258259</v>
      </c>
      <c r="W23" s="16"/>
      <c r="X23" s="16">
        <f>+O23+V23</f>
        <v>4.360168138225826</v>
      </c>
      <c r="Z23" s="30">
        <f t="shared" si="2"/>
        <v>0</v>
      </c>
    </row>
    <row r="24" spans="1:26" ht="12.75">
      <c r="A24" t="s">
        <v>5</v>
      </c>
      <c r="C24" t="s">
        <v>9</v>
      </c>
      <c r="G24" s="16"/>
      <c r="H24" s="16"/>
      <c r="I24" s="20">
        <f>10.02+18.89+12.81+6.12+1.13+18.6+17.9+12.56+0.63+7</f>
        <v>105.66</v>
      </c>
      <c r="J24" s="16"/>
      <c r="K24" s="16"/>
      <c r="L24" s="16"/>
      <c r="M24" s="16">
        <f>7.28+1.11</f>
        <v>8.39</v>
      </c>
      <c r="N24" s="30">
        <f t="shared" si="3"/>
        <v>0</v>
      </c>
      <c r="O24" s="21">
        <f t="shared" si="4"/>
        <v>105.66</v>
      </c>
      <c r="P24" s="21">
        <f t="shared" si="5"/>
        <v>8.39</v>
      </c>
      <c r="Q24" s="30">
        <f t="shared" si="0"/>
        <v>1.2024518678762732</v>
      </c>
      <c r="R24" s="11">
        <f t="shared" si="6"/>
        <v>0</v>
      </c>
      <c r="S24" s="11">
        <f t="shared" si="7"/>
        <v>0.004134410218251524</v>
      </c>
      <c r="T24" s="11">
        <f>+O24/$O$75</f>
        <v>0.0007644356687158933</v>
      </c>
      <c r="V24" s="16">
        <f>+$V$75*T24</f>
        <v>12.770685214637728</v>
      </c>
      <c r="W24" s="16"/>
      <c r="X24" s="16">
        <f t="shared" si="1"/>
        <v>118.43068521463772</v>
      </c>
      <c r="Z24" s="30">
        <f t="shared" si="2"/>
        <v>7.187548132123728</v>
      </c>
    </row>
    <row r="25" spans="1:26" ht="12.75">
      <c r="A25" t="s">
        <v>5</v>
      </c>
      <c r="C25" t="s">
        <v>10</v>
      </c>
      <c r="G25" s="16"/>
      <c r="H25" s="16"/>
      <c r="I25" s="16">
        <f>3.38+1.75+0.28+4.63+8.16+11.07</f>
        <v>29.27</v>
      </c>
      <c r="J25" s="16"/>
      <c r="K25" s="16"/>
      <c r="L25" s="16"/>
      <c r="M25" s="16"/>
      <c r="N25" s="30">
        <f t="shared" si="3"/>
        <v>0</v>
      </c>
      <c r="O25" s="21">
        <f t="shared" si="4"/>
        <v>29.27</v>
      </c>
      <c r="P25" s="21">
        <f t="shared" si="5"/>
        <v>0</v>
      </c>
      <c r="Q25" s="30">
        <f t="shared" si="0"/>
        <v>0</v>
      </c>
      <c r="R25" s="11">
        <f t="shared" si="6"/>
        <v>0</v>
      </c>
      <c r="S25" s="11">
        <f t="shared" si="7"/>
        <v>0</v>
      </c>
      <c r="T25" s="11">
        <f>+O25/$O$75</f>
        <v>0.00021176445223655306</v>
      </c>
      <c r="V25" s="16">
        <f>+$V$75*T25</f>
        <v>3.5377432919974097</v>
      </c>
      <c r="W25" s="16"/>
      <c r="X25" s="16">
        <f t="shared" si="1"/>
        <v>32.80774329199741</v>
      </c>
      <c r="Z25" s="30">
        <f t="shared" si="2"/>
        <v>0</v>
      </c>
    </row>
    <row r="26" spans="1:26" ht="12.75" hidden="1">
      <c r="A26" t="s">
        <v>5</v>
      </c>
      <c r="C26" t="s">
        <v>8</v>
      </c>
      <c r="G26" s="16"/>
      <c r="H26" s="16"/>
      <c r="I26" s="16"/>
      <c r="J26" s="16"/>
      <c r="K26" s="16"/>
      <c r="L26" s="16"/>
      <c r="M26" s="16"/>
      <c r="N26" s="30">
        <f t="shared" si="3"/>
        <v>0</v>
      </c>
      <c r="O26" s="21">
        <f t="shared" si="4"/>
        <v>0</v>
      </c>
      <c r="P26" s="21">
        <f t="shared" si="5"/>
        <v>0</v>
      </c>
      <c r="Q26" s="30">
        <f t="shared" si="0"/>
        <v>0</v>
      </c>
      <c r="R26" s="11">
        <f t="shared" si="6"/>
        <v>0</v>
      </c>
      <c r="S26" s="11">
        <f t="shared" si="7"/>
        <v>0</v>
      </c>
      <c r="T26" s="11">
        <f>+O26/$O$75</f>
        <v>0</v>
      </c>
      <c r="V26" s="16">
        <f>+$V$75*T26</f>
        <v>0</v>
      </c>
      <c r="W26" s="16"/>
      <c r="X26" s="16">
        <f t="shared" si="1"/>
        <v>0</v>
      </c>
      <c r="Z26" s="30">
        <f t="shared" si="2"/>
        <v>0</v>
      </c>
    </row>
    <row r="27" spans="1:26" ht="12.75" hidden="1">
      <c r="A27" t="s">
        <v>5</v>
      </c>
      <c r="C27" t="s">
        <v>9</v>
      </c>
      <c r="G27" s="16"/>
      <c r="H27" s="16"/>
      <c r="I27" s="20"/>
      <c r="J27" s="16"/>
      <c r="K27" s="16"/>
      <c r="L27" s="16"/>
      <c r="M27" s="16"/>
      <c r="N27" s="30">
        <f t="shared" si="3"/>
        <v>0</v>
      </c>
      <c r="O27" s="21">
        <f t="shared" si="4"/>
        <v>0</v>
      </c>
      <c r="P27" s="21">
        <f t="shared" si="5"/>
        <v>0</v>
      </c>
      <c r="Q27" s="30">
        <f t="shared" si="0"/>
        <v>0</v>
      </c>
      <c r="R27" s="11">
        <f t="shared" si="6"/>
        <v>0</v>
      </c>
      <c r="S27" s="11">
        <f t="shared" si="7"/>
        <v>0</v>
      </c>
      <c r="T27" s="11">
        <f>+O27/$O$75</f>
        <v>0</v>
      </c>
      <c r="V27" s="16">
        <f>+$V$75*T27</f>
        <v>0</v>
      </c>
      <c r="W27" s="16"/>
      <c r="X27" s="16">
        <f t="shared" si="1"/>
        <v>0</v>
      </c>
      <c r="Z27" s="30">
        <f t="shared" si="2"/>
        <v>0</v>
      </c>
    </row>
    <row r="28" spans="1:26" ht="12.75" hidden="1">
      <c r="A28" t="s">
        <v>5</v>
      </c>
      <c r="C28" t="s">
        <v>10</v>
      </c>
      <c r="G28" s="16"/>
      <c r="H28" s="16"/>
      <c r="I28" s="16"/>
      <c r="J28" s="16"/>
      <c r="K28" s="16"/>
      <c r="L28" s="16"/>
      <c r="M28" s="16"/>
      <c r="N28" s="30">
        <f t="shared" si="3"/>
        <v>0</v>
      </c>
      <c r="O28" s="21">
        <f t="shared" si="4"/>
        <v>0</v>
      </c>
      <c r="P28" s="21">
        <f t="shared" si="5"/>
        <v>0</v>
      </c>
      <c r="Q28" s="30">
        <f t="shared" si="0"/>
        <v>0</v>
      </c>
      <c r="R28" s="11">
        <f t="shared" si="6"/>
        <v>0</v>
      </c>
      <c r="S28" s="11">
        <f t="shared" si="7"/>
        <v>0</v>
      </c>
      <c r="T28" s="11">
        <f>+O28/$O$75</f>
        <v>0</v>
      </c>
      <c r="V28" s="16">
        <f>+$V$75*T28</f>
        <v>0</v>
      </c>
      <c r="W28" s="16"/>
      <c r="X28" s="16">
        <f t="shared" si="1"/>
        <v>0</v>
      </c>
      <c r="Z28" s="30">
        <f t="shared" si="2"/>
        <v>0</v>
      </c>
    </row>
    <row r="29" spans="1:26" ht="12.75" hidden="1">
      <c r="A29" t="s">
        <v>5</v>
      </c>
      <c r="C29" t="s">
        <v>58</v>
      </c>
      <c r="G29" s="16"/>
      <c r="H29" s="16"/>
      <c r="I29" s="16"/>
      <c r="J29" s="16"/>
      <c r="K29" s="16"/>
      <c r="L29" s="16"/>
      <c r="M29" s="16"/>
      <c r="N29" s="30">
        <f t="shared" si="3"/>
        <v>0</v>
      </c>
      <c r="O29" s="21">
        <f t="shared" si="4"/>
        <v>0</v>
      </c>
      <c r="P29" s="21">
        <f t="shared" si="5"/>
        <v>0</v>
      </c>
      <c r="Q29" s="30">
        <f t="shared" si="0"/>
        <v>0</v>
      </c>
      <c r="R29" s="11">
        <f t="shared" si="6"/>
        <v>0</v>
      </c>
      <c r="S29" s="11">
        <f t="shared" si="7"/>
        <v>0</v>
      </c>
      <c r="T29" s="11">
        <f>+O29/$O$75</f>
        <v>0</v>
      </c>
      <c r="V29" s="16">
        <f>+$V$75*T29</f>
        <v>0</v>
      </c>
      <c r="W29" s="16"/>
      <c r="X29" s="16">
        <f t="shared" si="1"/>
        <v>0</v>
      </c>
      <c r="Z29" s="30">
        <f t="shared" si="2"/>
        <v>0</v>
      </c>
    </row>
    <row r="30" spans="1:26" ht="12.75" hidden="1">
      <c r="A30" t="s">
        <v>5</v>
      </c>
      <c r="C30" t="s">
        <v>11</v>
      </c>
      <c r="E30" t="s">
        <v>70</v>
      </c>
      <c r="G30" s="16"/>
      <c r="H30" s="16"/>
      <c r="I30" s="16"/>
      <c r="J30" s="16"/>
      <c r="K30" s="16"/>
      <c r="L30" s="16"/>
      <c r="M30" s="16"/>
      <c r="N30" s="30">
        <f t="shared" si="3"/>
        <v>0</v>
      </c>
      <c r="O30" s="21">
        <f t="shared" si="4"/>
        <v>0</v>
      </c>
      <c r="P30" s="21">
        <f t="shared" si="5"/>
        <v>0</v>
      </c>
      <c r="Q30" s="30">
        <f t="shared" si="0"/>
        <v>0</v>
      </c>
      <c r="R30" s="11">
        <f t="shared" si="6"/>
        <v>0</v>
      </c>
      <c r="S30" s="11">
        <f t="shared" si="7"/>
        <v>0</v>
      </c>
      <c r="T30" s="11">
        <f>+O30/$O$75</f>
        <v>0</v>
      </c>
      <c r="V30" s="16">
        <f>+$V$75*T30</f>
        <v>0</v>
      </c>
      <c r="W30" s="16"/>
      <c r="X30" s="16">
        <f t="shared" si="1"/>
        <v>0</v>
      </c>
      <c r="Z30" s="30">
        <f t="shared" si="2"/>
        <v>0</v>
      </c>
    </row>
    <row r="31" spans="1:26" ht="12.75" hidden="1">
      <c r="A31" t="s">
        <v>5</v>
      </c>
      <c r="C31" t="s">
        <v>11</v>
      </c>
      <c r="E31" t="s">
        <v>71</v>
      </c>
      <c r="G31" s="16"/>
      <c r="H31" s="16"/>
      <c r="I31" s="16"/>
      <c r="J31" s="16"/>
      <c r="K31" s="16"/>
      <c r="L31" s="16"/>
      <c r="M31" s="16"/>
      <c r="N31" s="30">
        <f t="shared" si="3"/>
        <v>0</v>
      </c>
      <c r="O31" s="21">
        <f t="shared" si="4"/>
        <v>0</v>
      </c>
      <c r="P31" s="21">
        <f t="shared" si="5"/>
        <v>0</v>
      </c>
      <c r="Q31" s="30">
        <f t="shared" si="0"/>
        <v>0</v>
      </c>
      <c r="R31" s="11">
        <f t="shared" si="6"/>
        <v>0</v>
      </c>
      <c r="S31" s="11">
        <f t="shared" si="7"/>
        <v>0</v>
      </c>
      <c r="T31" s="11">
        <f>+O31/$O$75</f>
        <v>0</v>
      </c>
      <c r="V31" s="16">
        <f>+$V$75*T31</f>
        <v>0</v>
      </c>
      <c r="W31" s="16"/>
      <c r="X31" s="16">
        <f t="shared" si="1"/>
        <v>0</v>
      </c>
      <c r="Z31" s="30">
        <f t="shared" si="2"/>
        <v>0</v>
      </c>
    </row>
    <row r="32" spans="1:26" ht="12.75">
      <c r="A32" t="s">
        <v>5</v>
      </c>
      <c r="C32" t="s">
        <v>11</v>
      </c>
      <c r="E32" t="s">
        <v>70</v>
      </c>
      <c r="G32" s="16"/>
      <c r="H32" s="16"/>
      <c r="I32" s="16">
        <f>3.93+1.21+7.05</f>
        <v>12.190000000000001</v>
      </c>
      <c r="J32" s="16"/>
      <c r="K32" s="16"/>
      <c r="L32" s="16"/>
      <c r="M32" s="16"/>
      <c r="N32" s="30">
        <f>R32*$X$77</f>
        <v>0</v>
      </c>
      <c r="O32" s="21">
        <f>SUM(G32:I32)</f>
        <v>12.190000000000001</v>
      </c>
      <c r="P32" s="21">
        <f>SUM(K32:M32)</f>
        <v>0</v>
      </c>
      <c r="Q32" s="30">
        <f t="shared" si="0"/>
        <v>0</v>
      </c>
      <c r="R32" s="11">
        <f>K32/$P$75</f>
        <v>0</v>
      </c>
      <c r="S32" s="11">
        <f>M32/$P$75</f>
        <v>0</v>
      </c>
      <c r="T32" s="11">
        <f>+O32/$O$75</f>
        <v>8.819298506196044E-05</v>
      </c>
      <c r="V32" s="16">
        <f>+$V$75*T32</f>
        <v>1.4733546542346578</v>
      </c>
      <c r="W32" s="16"/>
      <c r="X32" s="16">
        <f>+O32+V32</f>
        <v>13.66335465423466</v>
      </c>
      <c r="Z32" s="30">
        <f t="shared" si="2"/>
        <v>0</v>
      </c>
    </row>
    <row r="33" spans="1:26" ht="12.75">
      <c r="A33" t="s">
        <v>5</v>
      </c>
      <c r="C33" t="s">
        <v>11</v>
      </c>
      <c r="E33" t="s">
        <v>71</v>
      </c>
      <c r="G33" s="16"/>
      <c r="H33" s="16"/>
      <c r="I33" s="16">
        <f>0.93+7.16+1.96</f>
        <v>10.05</v>
      </c>
      <c r="J33" s="16"/>
      <c r="K33" s="16"/>
      <c r="L33" s="16"/>
      <c r="M33" s="16"/>
      <c r="N33" s="30">
        <f>R33*$X$77</f>
        <v>0</v>
      </c>
      <c r="O33" s="21">
        <f>SUM(G33:I33)</f>
        <v>10.05</v>
      </c>
      <c r="P33" s="21">
        <f>SUM(K33:M33)</f>
        <v>0</v>
      </c>
      <c r="Q33" s="30">
        <f t="shared" si="0"/>
        <v>0</v>
      </c>
      <c r="R33" s="11">
        <f>K33/$P$75</f>
        <v>0</v>
      </c>
      <c r="S33" s="11">
        <f>M33/$P$75</f>
        <v>0</v>
      </c>
      <c r="T33" s="11">
        <f>+O33/$O$75</f>
        <v>7.271037734804777E-05</v>
      </c>
      <c r="V33" s="16">
        <f>+$V$75*T33</f>
        <v>1.2147017452878022</v>
      </c>
      <c r="W33" s="16"/>
      <c r="X33" s="16">
        <f>+O33+V33</f>
        <v>11.264701745287804</v>
      </c>
      <c r="Z33" s="30">
        <f t="shared" si="2"/>
        <v>0</v>
      </c>
    </row>
    <row r="34" spans="1:26" ht="12.75">
      <c r="A34" t="s">
        <v>5</v>
      </c>
      <c r="C34" t="s">
        <v>11</v>
      </c>
      <c r="E34" t="s">
        <v>12</v>
      </c>
      <c r="G34" s="16"/>
      <c r="H34" s="16"/>
      <c r="I34" s="16">
        <f>6.78+9.43+4.51+8.9+24.9+2.01+3.85+1.68+10.16</f>
        <v>72.22</v>
      </c>
      <c r="J34" s="16"/>
      <c r="K34" s="16"/>
      <c r="L34" s="16"/>
      <c r="M34" s="16"/>
      <c r="N34" s="30">
        <f t="shared" si="3"/>
        <v>0</v>
      </c>
      <c r="O34" s="21">
        <f t="shared" si="4"/>
        <v>72.22</v>
      </c>
      <c r="P34" s="21">
        <f t="shared" si="5"/>
        <v>0</v>
      </c>
      <c r="Q34" s="30">
        <f t="shared" si="0"/>
        <v>0</v>
      </c>
      <c r="R34" s="11">
        <f t="shared" si="6"/>
        <v>0</v>
      </c>
      <c r="S34" s="11">
        <f t="shared" si="7"/>
        <v>0</v>
      </c>
      <c r="T34" s="11">
        <f>+O34/$O$75</f>
        <v>0.0005225018360274637</v>
      </c>
      <c r="V34" s="16">
        <f>+$V$75*T34</f>
        <v>8.728931347729858</v>
      </c>
      <c r="W34" s="16"/>
      <c r="X34" s="16">
        <f t="shared" si="1"/>
        <v>80.94893134772985</v>
      </c>
      <c r="Z34" s="30">
        <f t="shared" si="2"/>
        <v>0</v>
      </c>
    </row>
    <row r="35" spans="1:26" ht="12.75" hidden="1">
      <c r="A35" t="s">
        <v>5</v>
      </c>
      <c r="C35" t="s">
        <v>11</v>
      </c>
      <c r="E35" t="s">
        <v>59</v>
      </c>
      <c r="G35" s="16"/>
      <c r="H35" s="16"/>
      <c r="I35" s="16"/>
      <c r="J35" s="16"/>
      <c r="K35" s="16"/>
      <c r="L35" s="16"/>
      <c r="M35" s="16"/>
      <c r="N35" s="30">
        <f t="shared" si="3"/>
        <v>0</v>
      </c>
      <c r="O35" s="21">
        <f t="shared" si="4"/>
        <v>0</v>
      </c>
      <c r="P35" s="21">
        <f t="shared" si="5"/>
        <v>0</v>
      </c>
      <c r="Q35" s="30">
        <f t="shared" si="0"/>
        <v>0</v>
      </c>
      <c r="R35" s="11">
        <f t="shared" si="6"/>
        <v>0</v>
      </c>
      <c r="S35" s="11">
        <f t="shared" si="7"/>
        <v>0</v>
      </c>
      <c r="T35" s="11">
        <f>+O35/$O$75</f>
        <v>0</v>
      </c>
      <c r="V35" s="16">
        <f>+$V$75*T35</f>
        <v>0</v>
      </c>
      <c r="W35" s="16"/>
      <c r="X35" s="16">
        <f t="shared" si="1"/>
        <v>0</v>
      </c>
      <c r="Z35" s="30">
        <f t="shared" si="2"/>
        <v>0</v>
      </c>
    </row>
    <row r="36" spans="1:26" ht="12.75" hidden="1">
      <c r="A36" t="s">
        <v>5</v>
      </c>
      <c r="C36" t="s">
        <v>11</v>
      </c>
      <c r="E36" t="s">
        <v>60</v>
      </c>
      <c r="G36" s="16"/>
      <c r="H36" s="16"/>
      <c r="I36" s="16"/>
      <c r="J36" s="16"/>
      <c r="K36" s="16"/>
      <c r="L36" s="16"/>
      <c r="M36" s="16"/>
      <c r="N36" s="30">
        <f t="shared" si="3"/>
        <v>0</v>
      </c>
      <c r="O36" s="21">
        <f t="shared" si="4"/>
        <v>0</v>
      </c>
      <c r="P36" s="21">
        <f t="shared" si="5"/>
        <v>0</v>
      </c>
      <c r="Q36" s="30">
        <f t="shared" si="0"/>
        <v>0</v>
      </c>
      <c r="R36" s="11">
        <f t="shared" si="6"/>
        <v>0</v>
      </c>
      <c r="S36" s="11">
        <f t="shared" si="7"/>
        <v>0</v>
      </c>
      <c r="T36" s="11">
        <f>+O36/$O$75</f>
        <v>0</v>
      </c>
      <c r="V36" s="16">
        <f>+$V$75*T36</f>
        <v>0</v>
      </c>
      <c r="W36" s="16"/>
      <c r="X36" s="16">
        <f t="shared" si="1"/>
        <v>0</v>
      </c>
      <c r="Z36" s="30">
        <f t="shared" si="2"/>
        <v>0</v>
      </c>
    </row>
    <row r="37" spans="1:26" ht="12.75">
      <c r="A37" t="s">
        <v>5</v>
      </c>
      <c r="C37" t="s">
        <v>11</v>
      </c>
      <c r="E37" t="s">
        <v>59</v>
      </c>
      <c r="G37" s="16"/>
      <c r="H37" s="16"/>
      <c r="I37" s="16">
        <f>1.5+0.69+10.45+4.99</f>
        <v>17.63</v>
      </c>
      <c r="J37" s="16"/>
      <c r="K37" s="16"/>
      <c r="L37" s="16"/>
      <c r="M37" s="16"/>
      <c r="N37" s="30">
        <f>R37*$X$77</f>
        <v>0</v>
      </c>
      <c r="O37" s="21">
        <f>SUM(G37:I37)</f>
        <v>17.63</v>
      </c>
      <c r="P37" s="21">
        <f>SUM(K37:M37)</f>
        <v>0</v>
      </c>
      <c r="Q37" s="30">
        <f t="shared" si="0"/>
        <v>0</v>
      </c>
      <c r="R37" s="11">
        <f>K37/$P$75</f>
        <v>0</v>
      </c>
      <c r="S37" s="11">
        <f>M37/$P$75</f>
        <v>0</v>
      </c>
      <c r="T37" s="11">
        <f>+O37/$O$75</f>
        <v>0.00012755064205433652</v>
      </c>
      <c r="V37" s="16">
        <f>+$V$75*T37</f>
        <v>2.130864852679</v>
      </c>
      <c r="W37" s="16"/>
      <c r="X37" s="16">
        <f t="shared" si="1"/>
        <v>19.760864852679</v>
      </c>
      <c r="Z37" s="30">
        <f t="shared" si="2"/>
        <v>0</v>
      </c>
    </row>
    <row r="38" spans="1:26" ht="12.75">
      <c r="A38" t="s">
        <v>5</v>
      </c>
      <c r="C38" t="s">
        <v>11</v>
      </c>
      <c r="E38" t="s">
        <v>60</v>
      </c>
      <c r="G38" s="16"/>
      <c r="H38" s="16"/>
      <c r="I38" s="16">
        <f>2.39+4.3+1.59</f>
        <v>8.28</v>
      </c>
      <c r="J38" s="16"/>
      <c r="K38" s="16"/>
      <c r="L38" s="16"/>
      <c r="M38" s="16"/>
      <c r="N38" s="30">
        <f>R38*$X$77</f>
        <v>0</v>
      </c>
      <c r="O38" s="21">
        <f>SUM(G38:I38)</f>
        <v>8.28</v>
      </c>
      <c r="P38" s="21">
        <f>SUM(K38:M38)</f>
        <v>0</v>
      </c>
      <c r="Q38" s="30">
        <f t="shared" si="0"/>
        <v>0</v>
      </c>
      <c r="R38" s="11">
        <f>K38/$P$75</f>
        <v>0</v>
      </c>
      <c r="S38" s="11">
        <f>M38/$P$75</f>
        <v>0</v>
      </c>
      <c r="T38" s="11">
        <f>+O38/$O$75</f>
        <v>5.99046690986901E-05</v>
      </c>
      <c r="V38" s="16">
        <f>+$V$75*T38</f>
        <v>1.000769199102786</v>
      </c>
      <c r="W38" s="16"/>
      <c r="X38" s="16">
        <f t="shared" si="1"/>
        <v>9.280769199102785</v>
      </c>
      <c r="Z38" s="30">
        <f t="shared" si="2"/>
        <v>0</v>
      </c>
    </row>
    <row r="39" spans="1:26" ht="12.75">
      <c r="A39" t="s">
        <v>5</v>
      </c>
      <c r="C39" t="s">
        <v>11</v>
      </c>
      <c r="E39" t="s">
        <v>13</v>
      </c>
      <c r="G39" s="16"/>
      <c r="H39" s="16"/>
      <c r="I39" s="16">
        <f>7.76+11.03+6.65+12.71+4.45+22.32+5.06+1.8</f>
        <v>71.78</v>
      </c>
      <c r="J39" s="16"/>
      <c r="K39" s="16"/>
      <c r="L39" s="16"/>
      <c r="M39" s="16">
        <f>0.48</f>
        <v>0.48</v>
      </c>
      <c r="N39" s="30">
        <f t="shared" si="3"/>
        <v>0</v>
      </c>
      <c r="O39" s="21">
        <f t="shared" si="4"/>
        <v>71.78</v>
      </c>
      <c r="P39" s="21">
        <f t="shared" si="5"/>
        <v>0.48</v>
      </c>
      <c r="Q39" s="30">
        <f t="shared" si="0"/>
        <v>0.06879343225037081</v>
      </c>
      <c r="R39" s="11">
        <f t="shared" si="6"/>
        <v>0</v>
      </c>
      <c r="S39" s="11">
        <f t="shared" si="7"/>
        <v>0.0002365336000906712</v>
      </c>
      <c r="T39" s="11">
        <f>+O39/$O$75</f>
        <v>0.0005193184961236686</v>
      </c>
      <c r="V39" s="16">
        <f>+$V$75*T39</f>
        <v>8.67575037579686</v>
      </c>
      <c r="W39" s="16"/>
      <c r="X39" s="16">
        <f t="shared" si="1"/>
        <v>80.45575037579687</v>
      </c>
      <c r="Z39" s="30">
        <f t="shared" si="2"/>
        <v>0.41120656774962916</v>
      </c>
    </row>
    <row r="40" spans="1:26" ht="12.75">
      <c r="A40" t="s">
        <v>5</v>
      </c>
      <c r="C40" t="s">
        <v>94</v>
      </c>
      <c r="G40" s="16"/>
      <c r="H40" s="16"/>
      <c r="I40" s="16">
        <f>0.59</f>
        <v>0.59</v>
      </c>
      <c r="J40" s="16"/>
      <c r="K40" s="16"/>
      <c r="L40" s="16"/>
      <c r="M40" s="16">
        <f>0.14</f>
        <v>0.14</v>
      </c>
      <c r="N40" s="30">
        <f>R40*$X$77</f>
        <v>0</v>
      </c>
      <c r="O40" s="21">
        <f>SUM(G40:I40)</f>
        <v>0.59</v>
      </c>
      <c r="P40" s="21">
        <f>SUM(K40:M40)</f>
        <v>0.14</v>
      </c>
      <c r="Q40" s="30">
        <f t="shared" si="0"/>
        <v>0.020064751073024824</v>
      </c>
      <c r="R40" s="11">
        <f>K40/$P$75</f>
        <v>0</v>
      </c>
      <c r="S40" s="11">
        <f>M40/$P$75</f>
        <v>6.898896669311245E-05</v>
      </c>
      <c r="T40" s="11">
        <f>+O40/$O$75</f>
        <v>4.268569416452555E-06</v>
      </c>
      <c r="V40" s="16">
        <f>+$V$75*T40</f>
        <v>0.07131084872833864</v>
      </c>
      <c r="W40" s="16"/>
      <c r="X40" s="16">
        <f t="shared" si="1"/>
        <v>0.6613108487283386</v>
      </c>
      <c r="Z40" s="30">
        <f t="shared" si="2"/>
        <v>0.11993524892697519</v>
      </c>
    </row>
    <row r="41" spans="1:26" ht="12.75">
      <c r="A41" t="s">
        <v>14</v>
      </c>
      <c r="C41" t="s">
        <v>79</v>
      </c>
      <c r="G41" s="16"/>
      <c r="H41" s="16"/>
      <c r="I41" s="16">
        <f>2.65</f>
        <v>2.65</v>
      </c>
      <c r="J41" s="16"/>
      <c r="K41" s="16"/>
      <c r="L41" s="16"/>
      <c r="M41" s="16"/>
      <c r="N41" s="30">
        <f t="shared" si="3"/>
        <v>0</v>
      </c>
      <c r="O41" s="21">
        <f t="shared" si="4"/>
        <v>2.65</v>
      </c>
      <c r="P41" s="21">
        <f t="shared" si="5"/>
        <v>0</v>
      </c>
      <c r="Q41" s="30">
        <f t="shared" si="0"/>
        <v>0</v>
      </c>
      <c r="R41" s="11">
        <f t="shared" si="6"/>
        <v>0</v>
      </c>
      <c r="S41" s="11">
        <f t="shared" si="7"/>
        <v>0</v>
      </c>
      <c r="T41" s="11">
        <f>+O41/$O$75</f>
        <v>1.917238805694792E-05</v>
      </c>
      <c r="V41" s="16">
        <f>+$V$75*T41</f>
        <v>0.3202944900510125</v>
      </c>
      <c r="W41" s="16"/>
      <c r="X41" s="16">
        <f t="shared" si="1"/>
        <v>2.970294490051012</v>
      </c>
      <c r="Z41" s="30">
        <f t="shared" si="2"/>
        <v>0</v>
      </c>
    </row>
    <row r="42" spans="1:26" ht="12.75">
      <c r="A42" t="s">
        <v>14</v>
      </c>
      <c r="C42" t="s">
        <v>101</v>
      </c>
      <c r="G42" s="16"/>
      <c r="H42" s="16"/>
      <c r="I42" s="16">
        <f>0.37+0.77</f>
        <v>1.1400000000000001</v>
      </c>
      <c r="J42" s="16"/>
      <c r="K42" s="16"/>
      <c r="L42" s="16"/>
      <c r="M42" s="16"/>
      <c r="N42" s="30">
        <f>R42*$X$77</f>
        <v>0</v>
      </c>
      <c r="O42" s="21">
        <f>SUM(G42:I42)</f>
        <v>1.1400000000000001</v>
      </c>
      <c r="P42" s="21">
        <f>SUM(K42:M42)</f>
        <v>0</v>
      </c>
      <c r="Q42" s="30">
        <f t="shared" si="0"/>
        <v>0</v>
      </c>
      <c r="R42" s="11">
        <f>K42/$P$75</f>
        <v>0</v>
      </c>
      <c r="S42" s="11">
        <f>M42/$P$75</f>
        <v>0</v>
      </c>
      <c r="T42" s="11">
        <f>+O42/$O$75</f>
        <v>8.247744296196464E-06</v>
      </c>
      <c r="V42" s="16">
        <f>+$V$75*T42</f>
        <v>0.1377870636445865</v>
      </c>
      <c r="W42" s="16"/>
      <c r="X42" s="16">
        <f>+O42+V42</f>
        <v>1.2777870636445867</v>
      </c>
      <c r="Z42" s="30">
        <f t="shared" si="2"/>
        <v>0</v>
      </c>
    </row>
    <row r="43" spans="1:26" ht="12.75">
      <c r="A43" t="s">
        <v>14</v>
      </c>
      <c r="C43" t="s">
        <v>14</v>
      </c>
      <c r="G43" s="16"/>
      <c r="H43" s="16"/>
      <c r="I43" s="16">
        <f>34.65</f>
        <v>34.65</v>
      </c>
      <c r="J43" s="16"/>
      <c r="K43" s="16"/>
      <c r="L43" s="16"/>
      <c r="M43" s="16"/>
      <c r="N43" s="30">
        <f>R43*$X$77</f>
        <v>0</v>
      </c>
      <c r="O43" s="21">
        <f>SUM(G43:I43)</f>
        <v>34.65</v>
      </c>
      <c r="P43" s="21">
        <f>SUM(K43:M43)</f>
        <v>0</v>
      </c>
      <c r="Q43" s="30">
        <f t="shared" si="0"/>
        <v>0</v>
      </c>
      <c r="R43" s="11">
        <f>K43/$P$75</f>
        <v>0</v>
      </c>
      <c r="S43" s="11">
        <f>M43/$P$75</f>
        <v>0</v>
      </c>
      <c r="T43" s="11">
        <f>+O43/$O$75</f>
        <v>0.00025068801742386617</v>
      </c>
      <c r="V43" s="16">
        <f>+$V$75*T43</f>
        <v>4.188001539723616</v>
      </c>
      <c r="W43" s="16"/>
      <c r="X43" s="16">
        <f>+O43+V43</f>
        <v>38.838001539723614</v>
      </c>
      <c r="Z43" s="30">
        <f t="shared" si="2"/>
        <v>0</v>
      </c>
    </row>
    <row r="44" spans="1:26" ht="12.75">
      <c r="A44" t="s">
        <v>14</v>
      </c>
      <c r="C44" t="s">
        <v>15</v>
      </c>
      <c r="G44" s="16"/>
      <c r="H44" s="16"/>
      <c r="I44" s="16">
        <f>128.61+111.78+109.51+85.46+90.1+96.64+93.47</f>
        <v>715.57</v>
      </c>
      <c r="J44" s="16"/>
      <c r="K44" s="16"/>
      <c r="L44" s="16"/>
      <c r="M44" s="16"/>
      <c r="N44" s="30">
        <f t="shared" si="3"/>
        <v>0</v>
      </c>
      <c r="O44" s="21">
        <f t="shared" si="4"/>
        <v>715.57</v>
      </c>
      <c r="P44" s="21">
        <f t="shared" si="5"/>
        <v>0</v>
      </c>
      <c r="Q44" s="30">
        <f t="shared" si="0"/>
        <v>0</v>
      </c>
      <c r="R44" s="11">
        <f t="shared" si="6"/>
        <v>0</v>
      </c>
      <c r="S44" s="11">
        <f t="shared" si="7"/>
        <v>0</v>
      </c>
      <c r="T44" s="11">
        <f>+O44/$O$75</f>
        <v>0.0051770512158151785</v>
      </c>
      <c r="V44" s="16">
        <f>+$V$75*T44</f>
        <v>86.48797292294454</v>
      </c>
      <c r="W44" s="16"/>
      <c r="X44" s="16">
        <f t="shared" si="1"/>
        <v>802.0579729229446</v>
      </c>
      <c r="Z44" s="30">
        <f t="shared" si="2"/>
        <v>0</v>
      </c>
    </row>
    <row r="45" spans="1:26" ht="12.75">
      <c r="A45" t="s">
        <v>14</v>
      </c>
      <c r="C45" t="s">
        <v>16</v>
      </c>
      <c r="G45" s="16"/>
      <c r="H45" s="16"/>
      <c r="I45" s="16">
        <f>13.35+5.95+0.72+15.21+1.44+6.82</f>
        <v>43.49</v>
      </c>
      <c r="J45" s="16"/>
      <c r="K45" s="16"/>
      <c r="L45" s="16"/>
      <c r="M45" s="16"/>
      <c r="N45" s="30">
        <f t="shared" si="3"/>
        <v>0</v>
      </c>
      <c r="O45" s="21">
        <f t="shared" si="4"/>
        <v>43.49</v>
      </c>
      <c r="P45" s="21">
        <f t="shared" si="5"/>
        <v>0</v>
      </c>
      <c r="Q45" s="30">
        <f t="shared" si="0"/>
        <v>0</v>
      </c>
      <c r="R45" s="11">
        <f t="shared" si="6"/>
        <v>0</v>
      </c>
      <c r="S45" s="11">
        <f t="shared" si="7"/>
        <v>0</v>
      </c>
      <c r="T45" s="11">
        <f>+O45/$O$75</f>
        <v>0.00031464421003647735</v>
      </c>
      <c r="V45" s="16">
        <f>+$V$75*T45</f>
        <v>5.256455612195673</v>
      </c>
      <c r="W45" s="16"/>
      <c r="X45" s="16">
        <f t="shared" si="1"/>
        <v>48.746455612195675</v>
      </c>
      <c r="Z45" s="30">
        <f t="shared" si="2"/>
        <v>0</v>
      </c>
    </row>
    <row r="46" spans="1:26" ht="12.75" hidden="1">
      <c r="A46" t="s">
        <v>72</v>
      </c>
      <c r="C46" t="s">
        <v>73</v>
      </c>
      <c r="G46" s="16"/>
      <c r="H46" s="16"/>
      <c r="I46" s="16"/>
      <c r="J46" s="16"/>
      <c r="K46" s="16"/>
      <c r="L46" s="16"/>
      <c r="M46" s="16"/>
      <c r="N46" s="30">
        <f t="shared" si="3"/>
        <v>0</v>
      </c>
      <c r="O46" s="21">
        <f t="shared" si="4"/>
        <v>0</v>
      </c>
      <c r="P46" s="21">
        <f t="shared" si="5"/>
        <v>0</v>
      </c>
      <c r="Q46" s="30">
        <f t="shared" si="0"/>
        <v>0</v>
      </c>
      <c r="R46" s="11">
        <f t="shared" si="6"/>
        <v>0</v>
      </c>
      <c r="S46" s="11">
        <f t="shared" si="7"/>
        <v>0</v>
      </c>
      <c r="T46" s="11">
        <f>+O46/$O$75</f>
        <v>0</v>
      </c>
      <c r="V46" s="16">
        <f>+$V$75*T46</f>
        <v>0</v>
      </c>
      <c r="W46" s="16"/>
      <c r="X46" s="16">
        <f t="shared" si="1"/>
        <v>0</v>
      </c>
      <c r="Z46" s="30">
        <f t="shared" si="2"/>
        <v>0</v>
      </c>
    </row>
    <row r="47" spans="1:26" ht="12.75">
      <c r="A47" t="s">
        <v>17</v>
      </c>
      <c r="C47" t="s">
        <v>18</v>
      </c>
      <c r="G47" s="16">
        <f>1076.11+912.97+1071.94+842.53+1104.49+1035.22+1195.17</f>
        <v>7238.43</v>
      </c>
      <c r="H47" s="16"/>
      <c r="I47" s="16">
        <f>359.12+334.53+287.07+197.51+17.09+347.26+268.88+266.69+393.64+309.3+365.22+241.07</f>
        <v>3387.3800000000006</v>
      </c>
      <c r="J47" s="16"/>
      <c r="K47" s="16">
        <f>3.13+2.52+2.18+7.69</f>
        <v>15.52</v>
      </c>
      <c r="L47" s="16"/>
      <c r="M47" s="16">
        <f>5.27+3.41+1.31+2.97+7.22+9.98+6.93+26.97+4.7+4.94</f>
        <v>73.7</v>
      </c>
      <c r="N47" s="30">
        <f t="shared" si="3"/>
        <v>0</v>
      </c>
      <c r="O47" s="21">
        <f t="shared" si="4"/>
        <v>10625.810000000001</v>
      </c>
      <c r="P47" s="21">
        <f t="shared" si="5"/>
        <v>89.22</v>
      </c>
      <c r="Q47" s="30">
        <f t="shared" si="0"/>
        <v>12.786979219537674</v>
      </c>
      <c r="R47" s="11">
        <f t="shared" si="6"/>
        <v>0.0076479197362650355</v>
      </c>
      <c r="S47" s="11">
        <f t="shared" si="7"/>
        <v>0.03631776318058848</v>
      </c>
      <c r="T47" s="11">
        <f>+O47/$O$75</f>
        <v>0.07687628405260294</v>
      </c>
      <c r="V47" s="16">
        <f>+$V$75*T47</f>
        <v>1284.2975076713017</v>
      </c>
      <c r="W47" s="16"/>
      <c r="X47" s="16">
        <f t="shared" si="1"/>
        <v>11910.107507671302</v>
      </c>
      <c r="Z47" s="30">
        <f t="shared" si="2"/>
        <v>76.43302078046233</v>
      </c>
    </row>
    <row r="48" spans="1:26" ht="12.75">
      <c r="A48" t="s">
        <v>17</v>
      </c>
      <c r="C48" t="s">
        <v>80</v>
      </c>
      <c r="G48" s="16"/>
      <c r="H48" s="16"/>
      <c r="I48" s="16">
        <f>0.43+1.52+2.72+6.36+7.16+1.72</f>
        <v>19.91</v>
      </c>
      <c r="J48" s="16"/>
      <c r="K48" s="16"/>
      <c r="L48" s="16"/>
      <c r="M48" s="16"/>
      <c r="N48" s="30">
        <f t="shared" si="3"/>
        <v>0</v>
      </c>
      <c r="O48" s="21">
        <f t="shared" si="4"/>
        <v>19.91</v>
      </c>
      <c r="P48" s="21">
        <f t="shared" si="5"/>
        <v>0</v>
      </c>
      <c r="Q48" s="30">
        <f t="shared" si="0"/>
        <v>0</v>
      </c>
      <c r="R48" s="11">
        <f t="shared" si="6"/>
        <v>0</v>
      </c>
      <c r="S48" s="11">
        <f t="shared" si="7"/>
        <v>0</v>
      </c>
      <c r="T48" s="11">
        <f>+O48/$O$75</f>
        <v>0.00014404613064672946</v>
      </c>
      <c r="V48" s="16">
        <f>+$V$75*T48</f>
        <v>2.4064389799681734</v>
      </c>
      <c r="W48" s="16"/>
      <c r="X48" s="16">
        <f aca="true" t="shared" si="8" ref="X48:X73">+O48+V48</f>
        <v>22.316438979968172</v>
      </c>
      <c r="Z48" s="30">
        <f t="shared" si="2"/>
        <v>0</v>
      </c>
    </row>
    <row r="49" spans="1:26" ht="12.75">
      <c r="A49" t="s">
        <v>17</v>
      </c>
      <c r="C49" t="s">
        <v>61</v>
      </c>
      <c r="G49" s="16">
        <f>3917.77+3666.55+4754.89+4696.03+5100.45+4399.61+6352.03</f>
        <v>32887.33</v>
      </c>
      <c r="H49" s="16"/>
      <c r="I49" s="16">
        <f>2808.53+2864.15+2016.27+1560.98+1826.82+1513.11+1723.45+1961.74+1847.69+1427.5+1487.88</f>
        <v>21038.120000000003</v>
      </c>
      <c r="J49" s="16"/>
      <c r="K49" s="16">
        <f>9.8</f>
        <v>9.8</v>
      </c>
      <c r="L49" s="16"/>
      <c r="M49" s="16">
        <f>46.45+107.5+41.51+19.82+49.82+25.85+56.96+36.4+216.55+212.62+41.49+42.76</f>
        <v>897.7299999999999</v>
      </c>
      <c r="N49" s="30">
        <f t="shared" si="3"/>
        <v>0</v>
      </c>
      <c r="O49" s="21">
        <f t="shared" si="4"/>
        <v>53925.450000000004</v>
      </c>
      <c r="P49" s="21">
        <f t="shared" si="5"/>
        <v>907.5299999999999</v>
      </c>
      <c r="Q49" s="30">
        <f t="shared" si="0"/>
        <v>130.06688243787295</v>
      </c>
      <c r="R49" s="11">
        <f t="shared" si="6"/>
        <v>0.0048292276685178714</v>
      </c>
      <c r="S49" s="11">
        <f t="shared" si="7"/>
        <v>0.442381893352913</v>
      </c>
      <c r="T49" s="11">
        <f>+O49/$O$75</f>
        <v>0.39014326548888384</v>
      </c>
      <c r="V49" s="16">
        <f>+$V$75*T49</f>
        <v>6517.745097555235</v>
      </c>
      <c r="W49" s="16"/>
      <c r="X49" s="16">
        <f t="shared" si="8"/>
        <v>60443.19509755524</v>
      </c>
      <c r="Z49" s="30">
        <f t="shared" si="2"/>
        <v>777.4631175621269</v>
      </c>
    </row>
    <row r="50" spans="1:26" ht="12.75">
      <c r="A50" t="s">
        <v>17</v>
      </c>
      <c r="C50" t="s">
        <v>81</v>
      </c>
      <c r="G50" s="16"/>
      <c r="H50" s="16"/>
      <c r="I50" s="16">
        <f>41.16+3.64+0.49+5.81+2.52+13.04+4.6+6.69+2.55+4.19</f>
        <v>84.68999999999998</v>
      </c>
      <c r="J50" s="16"/>
      <c r="K50" s="16"/>
      <c r="L50" s="16"/>
      <c r="M50" s="16">
        <f>29.53</f>
        <v>29.53</v>
      </c>
      <c r="N50" s="30">
        <f t="shared" si="3"/>
        <v>0</v>
      </c>
      <c r="O50" s="21">
        <f t="shared" si="4"/>
        <v>84.68999999999998</v>
      </c>
      <c r="P50" s="21">
        <f t="shared" si="5"/>
        <v>29.53</v>
      </c>
      <c r="Q50" s="30">
        <f t="shared" si="0"/>
        <v>4.232229279903021</v>
      </c>
      <c r="R50" s="11">
        <f t="shared" si="6"/>
        <v>0</v>
      </c>
      <c r="S50" s="11">
        <f t="shared" si="7"/>
        <v>0.014551744188911503</v>
      </c>
      <c r="T50" s="11">
        <f>+O50/$O$75</f>
        <v>0.0006127205828463845</v>
      </c>
      <c r="V50" s="16">
        <f>+$V$75*T50</f>
        <v>10.236128438649148</v>
      </c>
      <c r="W50" s="16"/>
      <c r="X50" s="16">
        <f t="shared" si="8"/>
        <v>94.92612843864913</v>
      </c>
      <c r="Z50" s="30">
        <f t="shared" si="2"/>
        <v>25.29777072009698</v>
      </c>
    </row>
    <row r="51" spans="1:26" ht="12.75">
      <c r="A51" t="s">
        <v>17</v>
      </c>
      <c r="C51" t="s">
        <v>62</v>
      </c>
      <c r="E51" t="s">
        <v>17</v>
      </c>
      <c r="G51" s="16">
        <f>1355.88+1310.87+933.82+786.39+901.75+879.9+1040.49</f>
        <v>7209.099999999999</v>
      </c>
      <c r="H51" s="16"/>
      <c r="I51" s="16">
        <f>19.06+27.64+17.58+2.39+7.82+4.44+9.73+5.29+4.66</f>
        <v>98.61000000000001</v>
      </c>
      <c r="J51" s="16"/>
      <c r="K51" s="16">
        <f>8.07+3.49</f>
        <v>11.56</v>
      </c>
      <c r="L51" s="16"/>
      <c r="M51" s="16">
        <f>0.16+4.27+4.66</f>
        <v>9.09</v>
      </c>
      <c r="N51" s="30">
        <f t="shared" si="3"/>
        <v>0</v>
      </c>
      <c r="O51" s="21">
        <f t="shared" si="4"/>
        <v>7307.709999999999</v>
      </c>
      <c r="P51" s="21">
        <f t="shared" si="5"/>
        <v>20.65</v>
      </c>
      <c r="Q51" s="30">
        <f t="shared" si="0"/>
        <v>2.959550783271161</v>
      </c>
      <c r="R51" s="11">
        <f t="shared" si="6"/>
        <v>0.005696517535516999</v>
      </c>
      <c r="S51" s="11">
        <f t="shared" si="7"/>
        <v>0.004479355051717086</v>
      </c>
      <c r="T51" s="11">
        <f>+O51/$O$75</f>
        <v>0.052870283746278814</v>
      </c>
      <c r="V51" s="16">
        <f>+$V$75*T51</f>
        <v>883.2525463738431</v>
      </c>
      <c r="W51" s="16"/>
      <c r="X51" s="16">
        <f t="shared" si="8"/>
        <v>8190.962546373842</v>
      </c>
      <c r="Z51" s="30">
        <f t="shared" si="2"/>
        <v>17.690449216728837</v>
      </c>
    </row>
    <row r="52" spans="1:26" ht="12.75">
      <c r="A52" t="s">
        <v>17</v>
      </c>
      <c r="C52" t="s">
        <v>95</v>
      </c>
      <c r="G52" s="16"/>
      <c r="H52" s="16"/>
      <c r="I52" s="16">
        <f>1.71+0.39+3.73+5.08</f>
        <v>10.91</v>
      </c>
      <c r="J52" s="16"/>
      <c r="K52" s="16"/>
      <c r="L52" s="16"/>
      <c r="M52" s="16"/>
      <c r="N52" s="30">
        <f>R52*$X$77</f>
        <v>0</v>
      </c>
      <c r="O52" s="21">
        <f>SUM(G52:I52)</f>
        <v>10.91</v>
      </c>
      <c r="P52" s="21">
        <f>SUM(K52:M52)</f>
        <v>0</v>
      </c>
      <c r="Q52" s="30">
        <f t="shared" si="0"/>
        <v>0</v>
      </c>
      <c r="R52" s="11">
        <f>K52/$P$75</f>
        <v>0</v>
      </c>
      <c r="S52" s="11">
        <f>M52/$P$75</f>
        <v>0</v>
      </c>
      <c r="T52" s="11">
        <f>+O52/$O$75</f>
        <v>7.89323598872837E-05</v>
      </c>
      <c r="V52" s="16">
        <f>+$V$75*T52</f>
        <v>1.3186463722477533</v>
      </c>
      <c r="W52" s="16"/>
      <c r="X52" s="16">
        <f t="shared" si="8"/>
        <v>12.228646372247754</v>
      </c>
      <c r="Z52" s="30">
        <f t="shared" si="2"/>
        <v>0</v>
      </c>
    </row>
    <row r="53" spans="1:26" ht="12.75">
      <c r="A53" t="s">
        <v>17</v>
      </c>
      <c r="C53" t="s">
        <v>19</v>
      </c>
      <c r="G53" s="16"/>
      <c r="H53" s="16"/>
      <c r="I53" s="16">
        <f>33.66+15.61+14.85+5.83+27.51+13.68+11.58+17.53+17.86+17.92+14.21+8.54</f>
        <v>198.78000000000003</v>
      </c>
      <c r="J53" s="16"/>
      <c r="K53" s="16"/>
      <c r="L53" s="16"/>
      <c r="M53" s="16">
        <f>0.16+0.44+2.93+2+1.9+1.7</f>
        <v>9.129999999999999</v>
      </c>
      <c r="N53" s="30">
        <f t="shared" si="3"/>
        <v>0</v>
      </c>
      <c r="O53" s="21">
        <f t="shared" si="4"/>
        <v>198.78000000000003</v>
      </c>
      <c r="P53" s="21">
        <f t="shared" si="5"/>
        <v>9.129999999999999</v>
      </c>
      <c r="Q53" s="30">
        <f t="shared" si="0"/>
        <v>1.3085084092622614</v>
      </c>
      <c r="R53" s="11">
        <f t="shared" si="6"/>
        <v>0</v>
      </c>
      <c r="S53" s="11">
        <f t="shared" si="7"/>
        <v>0.004499066185057975</v>
      </c>
      <c r="T53" s="11">
        <f>+O53/$O$75</f>
        <v>0.0014381461501736257</v>
      </c>
      <c r="V53" s="16">
        <f>+$V$75*T53</f>
        <v>24.02571272918501</v>
      </c>
      <c r="W53" s="16"/>
      <c r="X53" s="16">
        <f t="shared" si="8"/>
        <v>222.80571272918505</v>
      </c>
      <c r="Z53" s="30">
        <f t="shared" si="2"/>
        <v>7.821491590737738</v>
      </c>
    </row>
    <row r="54" spans="1:26" ht="12.75">
      <c r="A54" t="s">
        <v>82</v>
      </c>
      <c r="C54" t="s">
        <v>83</v>
      </c>
      <c r="E54" t="s">
        <v>84</v>
      </c>
      <c r="G54" s="16"/>
      <c r="H54" s="16"/>
      <c r="I54" s="16">
        <f>0.27</f>
        <v>0.27</v>
      </c>
      <c r="J54" s="16"/>
      <c r="K54" s="16"/>
      <c r="L54" s="16"/>
      <c r="M54" s="16"/>
      <c r="N54" s="30">
        <f t="shared" si="3"/>
        <v>0</v>
      </c>
      <c r="O54" s="21">
        <f t="shared" si="4"/>
        <v>0.27</v>
      </c>
      <c r="P54" s="21">
        <f t="shared" si="5"/>
        <v>0</v>
      </c>
      <c r="Q54" s="30">
        <f t="shared" si="0"/>
        <v>0</v>
      </c>
      <c r="R54" s="11">
        <f t="shared" si="6"/>
        <v>0</v>
      </c>
      <c r="S54" s="11">
        <f t="shared" si="7"/>
        <v>0</v>
      </c>
      <c r="T54" s="11">
        <f>+O54/$O$75</f>
        <v>1.953413122783373E-06</v>
      </c>
      <c r="V54" s="16">
        <f>+$V$75*T54</f>
        <v>0.0326337782316126</v>
      </c>
      <c r="W54" s="16"/>
      <c r="X54" s="16">
        <f t="shared" si="8"/>
        <v>0.30263377823161264</v>
      </c>
      <c r="Z54" s="30">
        <f t="shared" si="2"/>
        <v>0</v>
      </c>
    </row>
    <row r="55" spans="1:26" ht="12.75">
      <c r="A55" t="s">
        <v>74</v>
      </c>
      <c r="C55" t="s">
        <v>74</v>
      </c>
      <c r="G55" s="16"/>
      <c r="H55" s="16"/>
      <c r="I55" s="16">
        <f>0.4+17.31+1.99+4.72+0.9+9.77</f>
        <v>35.08999999999999</v>
      </c>
      <c r="J55" s="16"/>
      <c r="K55" s="16"/>
      <c r="L55" s="16"/>
      <c r="M55" s="16"/>
      <c r="N55" s="30">
        <f t="shared" si="3"/>
        <v>0</v>
      </c>
      <c r="O55" s="21">
        <f t="shared" si="4"/>
        <v>35.08999999999999</v>
      </c>
      <c r="P55" s="21">
        <f t="shared" si="5"/>
        <v>0</v>
      </c>
      <c r="Q55" s="30">
        <f t="shared" si="0"/>
        <v>0</v>
      </c>
      <c r="R55" s="11">
        <f t="shared" si="6"/>
        <v>0</v>
      </c>
      <c r="S55" s="11">
        <f t="shared" si="7"/>
        <v>0</v>
      </c>
      <c r="T55" s="11">
        <f>+O55/$O$75</f>
        <v>0.00025387135732766124</v>
      </c>
      <c r="V55" s="16">
        <f>+$V$75*T55</f>
        <v>4.241182511656613</v>
      </c>
      <c r="W55" s="16"/>
      <c r="X55" s="16">
        <f t="shared" si="8"/>
        <v>39.3311825116566</v>
      </c>
      <c r="Z55" s="30">
        <f t="shared" si="2"/>
        <v>0</v>
      </c>
    </row>
    <row r="56" spans="1:26" ht="12.75">
      <c r="A56" t="s">
        <v>20</v>
      </c>
      <c r="C56" t="s">
        <v>85</v>
      </c>
      <c r="G56" s="16"/>
      <c r="H56" s="16"/>
      <c r="I56" s="16">
        <f>34.26+7.46</f>
        <v>41.72</v>
      </c>
      <c r="J56" s="16"/>
      <c r="K56" s="16"/>
      <c r="L56" s="16"/>
      <c r="M56" s="16"/>
      <c r="N56" s="30">
        <f t="shared" si="3"/>
        <v>0</v>
      </c>
      <c r="O56" s="21">
        <f t="shared" si="4"/>
        <v>41.72</v>
      </c>
      <c r="P56" s="21">
        <f t="shared" si="5"/>
        <v>0</v>
      </c>
      <c r="Q56" s="30">
        <f t="shared" si="0"/>
        <v>0</v>
      </c>
      <c r="R56" s="11">
        <f t="shared" si="6"/>
        <v>0</v>
      </c>
      <c r="S56" s="11">
        <f t="shared" si="7"/>
        <v>0</v>
      </c>
      <c r="T56" s="11">
        <f>+O56/$O$75</f>
        <v>0.0003018385017871197</v>
      </c>
      <c r="V56" s="16">
        <f>+$V$75*T56</f>
        <v>5.0425230660106575</v>
      </c>
      <c r="W56" s="16"/>
      <c r="X56" s="16">
        <f t="shared" si="8"/>
        <v>46.76252306601066</v>
      </c>
      <c r="Z56" s="30">
        <f t="shared" si="2"/>
        <v>0</v>
      </c>
    </row>
    <row r="57" spans="1:26" ht="12.75">
      <c r="A57" t="s">
        <v>20</v>
      </c>
      <c r="C57" t="s">
        <v>102</v>
      </c>
      <c r="G57" s="16"/>
      <c r="H57" s="16"/>
      <c r="I57" s="16">
        <f>1.85+5.43+1.42+1.43</f>
        <v>10.129999999999999</v>
      </c>
      <c r="J57" s="16"/>
      <c r="K57" s="16"/>
      <c r="L57" s="16"/>
      <c r="M57" s="16"/>
      <c r="N57" s="30">
        <f>R57*$X$77</f>
        <v>0</v>
      </c>
      <c r="O57" s="21">
        <f>SUM(G57:I57)</f>
        <v>10.129999999999999</v>
      </c>
      <c r="P57" s="21">
        <f>SUM(K57:M57)</f>
        <v>0</v>
      </c>
      <c r="Q57" s="30">
        <f t="shared" si="0"/>
        <v>0</v>
      </c>
      <c r="R57" s="11">
        <f>K57/$P$75</f>
        <v>0</v>
      </c>
      <c r="S57" s="11">
        <f>M57/$P$75</f>
        <v>0</v>
      </c>
      <c r="T57" s="11">
        <f>+O57/$O$75</f>
        <v>7.328916642146505E-05</v>
      </c>
      <c r="V57" s="16">
        <f>+$V$75*T57</f>
        <v>1.2243710129119834</v>
      </c>
      <c r="W57" s="16"/>
      <c r="X57" s="16">
        <f>+O57+V57</f>
        <v>11.354371012911983</v>
      </c>
      <c r="Z57" s="30">
        <f t="shared" si="2"/>
        <v>0</v>
      </c>
    </row>
    <row r="58" spans="1:26" ht="12.75">
      <c r="A58" t="s">
        <v>20</v>
      </c>
      <c r="C58" t="s">
        <v>20</v>
      </c>
      <c r="G58" s="16"/>
      <c r="H58" s="16"/>
      <c r="I58" s="16">
        <f>1.52+4.86+167.96+0.72+9.01+3.41+1.01+4.26+216.9+0.26</f>
        <v>409.90999999999997</v>
      </c>
      <c r="J58" s="16"/>
      <c r="K58" s="16"/>
      <c r="L58" s="16"/>
      <c r="M58" s="16">
        <f>2.15+0.97</f>
        <v>3.12</v>
      </c>
      <c r="N58" s="30">
        <f t="shared" si="3"/>
        <v>0</v>
      </c>
      <c r="O58" s="21">
        <f t="shared" si="4"/>
        <v>409.90999999999997</v>
      </c>
      <c r="P58" s="21">
        <f t="shared" si="5"/>
        <v>3.12</v>
      </c>
      <c r="Q58" s="30">
        <f t="shared" si="0"/>
        <v>0.4471573096274103</v>
      </c>
      <c r="R58" s="11">
        <f t="shared" si="6"/>
        <v>0</v>
      </c>
      <c r="S58" s="11">
        <f t="shared" si="7"/>
        <v>0.001537468400589363</v>
      </c>
      <c r="T58" s="11">
        <f>+O58/$O$75</f>
        <v>0.002965642863556046</v>
      </c>
      <c r="V58" s="16">
        <f>+$V$75*T58</f>
        <v>49.54411864785303</v>
      </c>
      <c r="W58" s="16"/>
      <c r="X58" s="16">
        <f t="shared" si="8"/>
        <v>459.454118647853</v>
      </c>
      <c r="Z58" s="30">
        <f t="shared" si="2"/>
        <v>2.67284269037259</v>
      </c>
    </row>
    <row r="59" spans="1:26" ht="12.75">
      <c r="A59" t="s">
        <v>96</v>
      </c>
      <c r="C59" t="s">
        <v>97</v>
      </c>
      <c r="G59" s="16"/>
      <c r="H59" s="16"/>
      <c r="I59" s="16">
        <f>6.62+43.52+6.33</f>
        <v>56.47</v>
      </c>
      <c r="J59" s="16"/>
      <c r="K59" s="16"/>
      <c r="L59" s="16"/>
      <c r="M59" s="16"/>
      <c r="N59" s="30">
        <f>R59*$X$77</f>
        <v>0</v>
      </c>
      <c r="O59" s="21">
        <f>SUM(G59:I59)</f>
        <v>56.47</v>
      </c>
      <c r="P59" s="21">
        <f>SUM(K59:M59)</f>
        <v>0</v>
      </c>
      <c r="Q59" s="30">
        <f t="shared" si="0"/>
        <v>0</v>
      </c>
      <c r="R59" s="11">
        <f>K59/$P$75</f>
        <v>0</v>
      </c>
      <c r="S59" s="11">
        <f>M59/$P$75</f>
        <v>0</v>
      </c>
      <c r="T59" s="11">
        <f>+O59/$O$75</f>
        <v>0.00040855273719843355</v>
      </c>
      <c r="V59" s="16">
        <f>+$V$75*T59</f>
        <v>6.825294284219122</v>
      </c>
      <c r="W59" s="16"/>
      <c r="X59" s="16">
        <f t="shared" si="8"/>
        <v>63.295294284219125</v>
      </c>
      <c r="Z59" s="30">
        <f t="shared" si="2"/>
        <v>0</v>
      </c>
    </row>
    <row r="60" spans="1:26" ht="12.75">
      <c r="A60" t="s">
        <v>21</v>
      </c>
      <c r="C60" t="s">
        <v>63</v>
      </c>
      <c r="G60" s="16"/>
      <c r="H60" s="16"/>
      <c r="I60" s="16">
        <f>272.11+211.69+29.2+210.85+22.51+191.82+235.52+20.38+202.89+25.66+183.51</f>
        <v>1606.1400000000003</v>
      </c>
      <c r="J60" s="16"/>
      <c r="K60" s="16"/>
      <c r="L60" s="16"/>
      <c r="M60" s="16">
        <f>3.17+7.86+5.57+3.18+3.55+0.6+6.89</f>
        <v>30.820000000000004</v>
      </c>
      <c r="N60" s="30">
        <f t="shared" si="3"/>
        <v>0</v>
      </c>
      <c r="O60" s="21">
        <f t="shared" si="4"/>
        <v>1606.1400000000003</v>
      </c>
      <c r="P60" s="21">
        <f t="shared" si="5"/>
        <v>30.820000000000004</v>
      </c>
      <c r="Q60" s="30">
        <f t="shared" si="0"/>
        <v>4.417111629075893</v>
      </c>
      <c r="R60" s="11">
        <f t="shared" si="6"/>
        <v>0</v>
      </c>
      <c r="S60" s="11">
        <f t="shared" si="7"/>
        <v>0.015187428239155183</v>
      </c>
      <c r="T60" s="11">
        <f>+O60/$O$75</f>
        <v>0.011620203529730692</v>
      </c>
      <c r="V60" s="16">
        <f>+$V$75*T60</f>
        <v>194.12746877378615</v>
      </c>
      <c r="W60" s="16"/>
      <c r="X60" s="16">
        <f t="shared" si="8"/>
        <v>1800.2674687737865</v>
      </c>
      <c r="Z60" s="30">
        <f t="shared" si="2"/>
        <v>26.40288837092411</v>
      </c>
    </row>
    <row r="61" spans="1:26" ht="12.75">
      <c r="A61" t="s">
        <v>21</v>
      </c>
      <c r="C61" t="s">
        <v>22</v>
      </c>
      <c r="G61" s="16"/>
      <c r="H61" s="16"/>
      <c r="I61" s="16">
        <f>40.8+38.91+8.46+29.39+10.65+9.7+31.47+9.49+19.69+13.16+18.02</f>
        <v>229.73999999999998</v>
      </c>
      <c r="J61" s="16"/>
      <c r="K61" s="16"/>
      <c r="L61" s="16"/>
      <c r="M61" s="16">
        <f>1.42+1.89+0.64+0.64+2.28</f>
        <v>6.869999999999999</v>
      </c>
      <c r="N61" s="30">
        <f t="shared" si="3"/>
        <v>0</v>
      </c>
      <c r="O61" s="21">
        <f t="shared" si="4"/>
        <v>229.73999999999998</v>
      </c>
      <c r="P61" s="21">
        <f t="shared" si="5"/>
        <v>6.869999999999999</v>
      </c>
      <c r="Q61" s="30">
        <f t="shared" si="0"/>
        <v>0.9846059990834322</v>
      </c>
      <c r="R61" s="11">
        <f t="shared" si="6"/>
        <v>0</v>
      </c>
      <c r="S61" s="11">
        <f t="shared" si="7"/>
        <v>0.0033853871512977314</v>
      </c>
      <c r="T61" s="11">
        <f>+O61/$O$75</f>
        <v>0.0016621375215861186</v>
      </c>
      <c r="V61" s="16">
        <f>+$V$75*T61</f>
        <v>27.76771929974325</v>
      </c>
      <c r="W61" s="16"/>
      <c r="X61" s="16">
        <f t="shared" si="8"/>
        <v>257.50771929974326</v>
      </c>
      <c r="Z61" s="30">
        <f t="shared" si="2"/>
        <v>5.885394000916567</v>
      </c>
    </row>
    <row r="62" spans="1:26" ht="12.75">
      <c r="A62" t="s">
        <v>21</v>
      </c>
      <c r="C62" t="s">
        <v>103</v>
      </c>
      <c r="G62" s="16"/>
      <c r="H62" s="16"/>
      <c r="I62" s="16">
        <f>4.53</f>
        <v>4.53</v>
      </c>
      <c r="J62" s="16"/>
      <c r="K62" s="16"/>
      <c r="L62" s="16"/>
      <c r="M62" s="16"/>
      <c r="N62" s="30">
        <f>R62*$X$77</f>
        <v>0</v>
      </c>
      <c r="O62" s="21">
        <f>SUM(G62:I62)</f>
        <v>4.53</v>
      </c>
      <c r="P62" s="21">
        <f>SUM(K62:M62)</f>
        <v>0</v>
      </c>
      <c r="Q62" s="30">
        <f t="shared" si="0"/>
        <v>0</v>
      </c>
      <c r="R62" s="11">
        <f>K62/$P$75</f>
        <v>0</v>
      </c>
      <c r="S62" s="11">
        <f>M62/$P$75</f>
        <v>0</v>
      </c>
      <c r="T62" s="11">
        <f>+O62/$O$75</f>
        <v>3.277393128225437E-05</v>
      </c>
      <c r="V62" s="16">
        <f>+$V$75*T62</f>
        <v>0.547522279219278</v>
      </c>
      <c r="W62" s="16"/>
      <c r="X62" s="16">
        <f>+O62+V62</f>
        <v>5.077522279219278</v>
      </c>
      <c r="Z62" s="30">
        <f t="shared" si="2"/>
        <v>0</v>
      </c>
    </row>
    <row r="63" spans="1:26" ht="12.75">
      <c r="A63" t="s">
        <v>21</v>
      </c>
      <c r="C63" t="s">
        <v>21</v>
      </c>
      <c r="G63" s="16"/>
      <c r="H63" s="16"/>
      <c r="I63" s="16">
        <f>8.18+74.61+21.24+0.77+19.29+8.76+0.94+12.22+0.2</f>
        <v>146.20999999999995</v>
      </c>
      <c r="J63" s="16"/>
      <c r="K63" s="16"/>
      <c r="L63" s="16"/>
      <c r="M63" s="16"/>
      <c r="N63" s="30">
        <f t="shared" si="3"/>
        <v>0</v>
      </c>
      <c r="O63" s="21">
        <f t="shared" si="4"/>
        <v>146.20999999999995</v>
      </c>
      <c r="P63" s="21">
        <f t="shared" si="5"/>
        <v>0</v>
      </c>
      <c r="Q63" s="30">
        <f t="shared" si="0"/>
        <v>0</v>
      </c>
      <c r="R63" s="11">
        <f t="shared" si="6"/>
        <v>0</v>
      </c>
      <c r="S63" s="11">
        <f t="shared" si="7"/>
        <v>0</v>
      </c>
      <c r="T63" s="11">
        <f>+O63/$O$75</f>
        <v>0.0010578093803042846</v>
      </c>
      <c r="V63" s="16">
        <f>+$V$75*T63</f>
        <v>17.671795241644727</v>
      </c>
      <c r="W63" s="16"/>
      <c r="X63" s="16">
        <f t="shared" si="8"/>
        <v>163.88179524164468</v>
      </c>
      <c r="Z63" s="30">
        <f t="shared" si="2"/>
        <v>0</v>
      </c>
    </row>
    <row r="64" spans="1:26" ht="12.75">
      <c r="A64" t="s">
        <v>21</v>
      </c>
      <c r="C64" t="s">
        <v>23</v>
      </c>
      <c r="G64" s="16"/>
      <c r="H64" s="16"/>
      <c r="I64" s="16">
        <f>34.77+19.99+35.21+3.28+11.39+10.2+26.56+19.26+0.55+27.02+1.34</f>
        <v>189.57000000000002</v>
      </c>
      <c r="J64" s="16"/>
      <c r="K64" s="16"/>
      <c r="L64" s="16"/>
      <c r="M64" s="16">
        <f>1.34</f>
        <v>1.34</v>
      </c>
      <c r="N64" s="30">
        <f t="shared" si="3"/>
        <v>0</v>
      </c>
      <c r="O64" s="21">
        <f t="shared" si="4"/>
        <v>189.57000000000002</v>
      </c>
      <c r="P64" s="21">
        <f t="shared" si="5"/>
        <v>1.34</v>
      </c>
      <c r="Q64" s="30">
        <f t="shared" si="0"/>
        <v>0.19204833169895186</v>
      </c>
      <c r="R64" s="11">
        <f t="shared" si="6"/>
        <v>0</v>
      </c>
      <c r="S64" s="11">
        <f t="shared" si="7"/>
        <v>0.0006603229669197905</v>
      </c>
      <c r="T64" s="11">
        <f>+O64/$O$75</f>
        <v>0.0013715130580964595</v>
      </c>
      <c r="V64" s="16">
        <f>+$V$75*T64</f>
        <v>22.912538293951112</v>
      </c>
      <c r="W64" s="16"/>
      <c r="X64" s="16">
        <f t="shared" si="8"/>
        <v>212.48253829395114</v>
      </c>
      <c r="Z64" s="30">
        <f t="shared" si="2"/>
        <v>1.1479516683010482</v>
      </c>
    </row>
    <row r="65" spans="1:26" ht="12.75">
      <c r="A65" t="s">
        <v>21</v>
      </c>
      <c r="C65" t="s">
        <v>24</v>
      </c>
      <c r="E65" t="s">
        <v>25</v>
      </c>
      <c r="G65" s="16"/>
      <c r="H65" s="16"/>
      <c r="I65" s="16">
        <f>4.22+20.59+10+10.1+82.92+2.04+10.01+3.41+8.76</f>
        <v>152.04999999999998</v>
      </c>
      <c r="J65" s="16"/>
      <c r="K65" s="16"/>
      <c r="L65" s="16"/>
      <c r="M65" s="16">
        <f>0.47+1.66</f>
        <v>2.13</v>
      </c>
      <c r="N65" s="30">
        <f t="shared" si="3"/>
        <v>0</v>
      </c>
      <c r="O65" s="21">
        <f t="shared" si="4"/>
        <v>152.04999999999998</v>
      </c>
      <c r="P65" s="21">
        <f t="shared" si="5"/>
        <v>2.13</v>
      </c>
      <c r="Q65" s="30">
        <f t="shared" si="0"/>
        <v>0.30527085561102046</v>
      </c>
      <c r="R65" s="11">
        <f t="shared" si="6"/>
        <v>0</v>
      </c>
      <c r="S65" s="11">
        <f t="shared" si="7"/>
        <v>0.0010496178504023534</v>
      </c>
      <c r="T65" s="11">
        <f>+O65/$O$75</f>
        <v>0.0011000609826637474</v>
      </c>
      <c r="V65" s="16">
        <f>+$V$75*T65</f>
        <v>18.37765177820998</v>
      </c>
      <c r="W65" s="16"/>
      <c r="X65" s="16">
        <f t="shared" si="8"/>
        <v>170.42765177820996</v>
      </c>
      <c r="Z65" s="30">
        <f t="shared" si="2"/>
        <v>1.8247291443889795</v>
      </c>
    </row>
    <row r="66" spans="1:26" ht="12.75">
      <c r="A66" t="s">
        <v>21</v>
      </c>
      <c r="C66" t="s">
        <v>24</v>
      </c>
      <c r="E66" t="s">
        <v>64</v>
      </c>
      <c r="G66" s="16"/>
      <c r="H66" s="16"/>
      <c r="I66" s="16">
        <f>0.45+0.54+0.27</f>
        <v>1.26</v>
      </c>
      <c r="J66" s="16"/>
      <c r="K66" s="16"/>
      <c r="L66" s="16"/>
      <c r="M66" s="16"/>
      <c r="N66" s="30">
        <f t="shared" si="3"/>
        <v>0</v>
      </c>
      <c r="O66" s="21">
        <f t="shared" si="4"/>
        <v>1.26</v>
      </c>
      <c r="P66" s="21">
        <f t="shared" si="5"/>
        <v>0</v>
      </c>
      <c r="Q66" s="30">
        <f t="shared" si="0"/>
        <v>0</v>
      </c>
      <c r="R66" s="11">
        <f t="shared" si="6"/>
        <v>0</v>
      </c>
      <c r="S66" s="11">
        <f t="shared" si="7"/>
        <v>0</v>
      </c>
      <c r="T66" s="11">
        <f>+O66/$O$75</f>
        <v>9.115927906322407E-06</v>
      </c>
      <c r="V66" s="16">
        <f>+$V$75*T66</f>
        <v>0.15229096508085876</v>
      </c>
      <c r="W66" s="16"/>
      <c r="X66" s="16">
        <f t="shared" si="8"/>
        <v>1.4122909650808588</v>
      </c>
      <c r="Z66" s="30">
        <f t="shared" si="2"/>
        <v>0</v>
      </c>
    </row>
    <row r="67" spans="1:26" ht="12.75">
      <c r="A67" t="s">
        <v>21</v>
      </c>
      <c r="C67" t="s">
        <v>26</v>
      </c>
      <c r="G67" s="16">
        <f>6129.64+5524.07+6088.24+6012.37+6874.86+5908.86+5865.23</f>
        <v>42403.26999999999</v>
      </c>
      <c r="H67" s="16"/>
      <c r="I67" s="16">
        <f>2620.2+2470.72+988.02+2293.31+611.59+2007.51+2916.84+639.08+1797.85+784.13+1991.91</f>
        <v>19121.16</v>
      </c>
      <c r="J67" s="16"/>
      <c r="K67" s="16">
        <f>11.14+28.8+6.75+68.7+163.82+19.16</f>
        <v>298.37</v>
      </c>
      <c r="L67" s="16"/>
      <c r="M67" s="16">
        <f>48.46+68.12+51.01+56.88+1.66+49.95+88.88+21.69+159.89+17.24+54.24</f>
        <v>618.02</v>
      </c>
      <c r="N67" s="30">
        <f t="shared" si="3"/>
        <v>0</v>
      </c>
      <c r="O67" s="21">
        <f t="shared" si="4"/>
        <v>61524.42999999999</v>
      </c>
      <c r="P67" s="21">
        <f t="shared" si="5"/>
        <v>916.39</v>
      </c>
      <c r="Q67" s="30">
        <f t="shared" si="0"/>
        <v>131.33669454149438</v>
      </c>
      <c r="R67" s="11">
        <f t="shared" si="6"/>
        <v>0.14703027137302827</v>
      </c>
      <c r="S67" s="11">
        <f t="shared" si="7"/>
        <v>0.3045468656834096</v>
      </c>
      <c r="T67" s="11">
        <f>+O67/$O$75</f>
        <v>0.4451208479028408</v>
      </c>
      <c r="V67" s="16">
        <f>+$V$75*T67</f>
        <v>7436.202238690269</v>
      </c>
      <c r="W67" s="16"/>
      <c r="X67" s="16">
        <f t="shared" si="8"/>
        <v>68960.63223869026</v>
      </c>
      <c r="Z67" s="30">
        <f t="shared" si="2"/>
        <v>785.0533054585056</v>
      </c>
    </row>
    <row r="68" spans="1:26" ht="12.75">
      <c r="A68" t="s">
        <v>27</v>
      </c>
      <c r="C68" t="s">
        <v>28</v>
      </c>
      <c r="G68" s="16"/>
      <c r="H68" s="16"/>
      <c r="I68" s="16">
        <f>1.23+2.57+3.95+0.55+0.57+1.79+0.41</f>
        <v>11.07</v>
      </c>
      <c r="J68" s="16"/>
      <c r="K68" s="16"/>
      <c r="L68" s="16"/>
      <c r="M68" s="16"/>
      <c r="N68" s="30">
        <f t="shared" si="3"/>
        <v>0</v>
      </c>
      <c r="O68" s="21">
        <f t="shared" si="4"/>
        <v>11.07</v>
      </c>
      <c r="P68" s="21">
        <f t="shared" si="5"/>
        <v>0</v>
      </c>
      <c r="Q68" s="30">
        <f t="shared" si="0"/>
        <v>0</v>
      </c>
      <c r="R68" s="11">
        <f t="shared" si="6"/>
        <v>0</v>
      </c>
      <c r="S68" s="11">
        <f t="shared" si="7"/>
        <v>0</v>
      </c>
      <c r="T68" s="11">
        <f>+O68/$O$75</f>
        <v>8.008993803411829E-05</v>
      </c>
      <c r="V68" s="16">
        <f>+$V$75*T68</f>
        <v>1.3379849074961163</v>
      </c>
      <c r="W68" s="16"/>
      <c r="X68" s="16">
        <f t="shared" si="8"/>
        <v>12.407984907496116</v>
      </c>
      <c r="Z68" s="30">
        <f t="shared" si="2"/>
        <v>0</v>
      </c>
    </row>
    <row r="69" spans="1:26" ht="12.75">
      <c r="A69" t="s">
        <v>27</v>
      </c>
      <c r="C69" t="s">
        <v>98</v>
      </c>
      <c r="G69" s="16"/>
      <c r="H69" s="16"/>
      <c r="I69" s="16">
        <f>9.62+12.93+18.5</f>
        <v>41.05</v>
      </c>
      <c r="J69" s="16"/>
      <c r="K69" s="16"/>
      <c r="L69" s="16"/>
      <c r="M69" s="16"/>
      <c r="N69" s="30">
        <f>R69*$X$77</f>
        <v>0</v>
      </c>
      <c r="O69" s="21">
        <f>SUM(G69:I69)</f>
        <v>41.05</v>
      </c>
      <c r="P69" s="21">
        <f>SUM(K69:M69)</f>
        <v>0</v>
      </c>
      <c r="Q69" s="30">
        <f t="shared" si="0"/>
        <v>0</v>
      </c>
      <c r="R69" s="11">
        <f>K69/$P$75</f>
        <v>0</v>
      </c>
      <c r="S69" s="11">
        <f>M69/$P$75</f>
        <v>0</v>
      </c>
      <c r="T69" s="11">
        <f>+O69/$O$75</f>
        <v>0.0002969911432972498</v>
      </c>
      <c r="V69" s="16">
        <f>+$V$75*T69</f>
        <v>4.961542949658137</v>
      </c>
      <c r="W69" s="16"/>
      <c r="X69" s="16">
        <f t="shared" si="8"/>
        <v>46.011542949658136</v>
      </c>
      <c r="Z69" s="30">
        <f t="shared" si="2"/>
        <v>0</v>
      </c>
    </row>
    <row r="70" spans="1:26" ht="12.75">
      <c r="A70" t="s">
        <v>27</v>
      </c>
      <c r="C70" t="s">
        <v>110</v>
      </c>
      <c r="G70" s="16"/>
      <c r="H70" s="16"/>
      <c r="I70" s="16">
        <f>19.93</f>
        <v>19.93</v>
      </c>
      <c r="J70" s="16"/>
      <c r="K70" s="16"/>
      <c r="L70" s="16"/>
      <c r="M70" s="16"/>
      <c r="N70" s="30">
        <f>R70*$X$77</f>
        <v>0</v>
      </c>
      <c r="O70" s="21">
        <f>SUM(G70:I70)</f>
        <v>19.93</v>
      </c>
      <c r="P70" s="21">
        <f>SUM(K70:M70)</f>
        <v>0</v>
      </c>
      <c r="Q70" s="30">
        <f>($C$77*R70)+($C$77*S70)</f>
        <v>0</v>
      </c>
      <c r="R70" s="11">
        <f>K70/$P$75</f>
        <v>0</v>
      </c>
      <c r="S70" s="11">
        <f>M70/$P$75</f>
        <v>0</v>
      </c>
      <c r="T70" s="11">
        <f>+O70/$O$75</f>
        <v>0.00014419082791508378</v>
      </c>
      <c r="V70" s="16">
        <f>+$V$75*T70</f>
        <v>2.4088562968742186</v>
      </c>
      <c r="W70" s="16"/>
      <c r="X70" s="16">
        <f>+O70+V70</f>
        <v>22.33885629687422</v>
      </c>
      <c r="Z70" s="30">
        <f>K70+M70-Q70</f>
        <v>0</v>
      </c>
    </row>
    <row r="71" spans="1:26" ht="12.75">
      <c r="A71" t="s">
        <v>27</v>
      </c>
      <c r="C71" t="s">
        <v>27</v>
      </c>
      <c r="G71" s="16"/>
      <c r="H71" s="16"/>
      <c r="I71" s="16">
        <f>5.13+35.99+16.68+10.26+2.04+3.03</f>
        <v>73.13000000000001</v>
      </c>
      <c r="J71" s="16"/>
      <c r="K71" s="16"/>
      <c r="L71" s="16"/>
      <c r="M71" s="16"/>
      <c r="N71" s="30">
        <f t="shared" si="3"/>
        <v>0</v>
      </c>
      <c r="O71" s="21">
        <f t="shared" si="4"/>
        <v>73.13000000000001</v>
      </c>
      <c r="P71" s="21">
        <f t="shared" si="5"/>
        <v>0</v>
      </c>
      <c r="Q71" s="30">
        <f>($C$77*R71)+($C$77*S71)</f>
        <v>0</v>
      </c>
      <c r="R71" s="11">
        <f t="shared" si="6"/>
        <v>0</v>
      </c>
      <c r="S71" s="11">
        <f t="shared" si="7"/>
        <v>0</v>
      </c>
      <c r="T71" s="11">
        <f>+O71/$O$75</f>
        <v>0.0005290855617375855</v>
      </c>
      <c r="V71" s="16">
        <f>+$V$75*T71</f>
        <v>8.838919266954925</v>
      </c>
      <c r="W71" s="16"/>
      <c r="X71" s="16">
        <f t="shared" si="8"/>
        <v>81.96891926695494</v>
      </c>
      <c r="Z71" s="30">
        <f>K71+M71-Q71</f>
        <v>0</v>
      </c>
    </row>
    <row r="72" spans="1:26" ht="12.75">
      <c r="A72" t="s">
        <v>27</v>
      </c>
      <c r="C72" t="s">
        <v>108</v>
      </c>
      <c r="G72" s="16"/>
      <c r="H72" s="16"/>
      <c r="I72" s="16">
        <f>5.13+35.99+5.83+23.15</f>
        <v>70.1</v>
      </c>
      <c r="J72" s="16"/>
      <c r="K72" s="16"/>
      <c r="L72" s="16"/>
      <c r="M72" s="16"/>
      <c r="N72" s="30">
        <f>R72*$X$77</f>
        <v>0</v>
      </c>
      <c r="O72" s="21">
        <f>SUM(G72:I72)</f>
        <v>70.1</v>
      </c>
      <c r="P72" s="21">
        <f>SUM(K72:M72)</f>
        <v>0</v>
      </c>
      <c r="Q72" s="30">
        <f>($C$77*R72)+($C$77*S72)</f>
        <v>0</v>
      </c>
      <c r="R72" s="11">
        <f>K72/$P$75</f>
        <v>0</v>
      </c>
      <c r="S72" s="11">
        <f>M72/$P$75</f>
        <v>0</v>
      </c>
      <c r="T72" s="11">
        <f>+O72/$O$75</f>
        <v>0.0005071639255819053</v>
      </c>
      <c r="V72" s="16">
        <f>+$V$75*T72</f>
        <v>8.472695755689047</v>
      </c>
      <c r="W72" s="16"/>
      <c r="X72" s="16">
        <f>+O72+V72</f>
        <v>78.57269575568904</v>
      </c>
      <c r="Z72" s="30">
        <f>K72+M72-Q72</f>
        <v>0</v>
      </c>
    </row>
    <row r="73" spans="1:26" ht="12.75">
      <c r="A73" t="s">
        <v>65</v>
      </c>
      <c r="C73" t="s">
        <v>66</v>
      </c>
      <c r="E73" t="s">
        <v>67</v>
      </c>
      <c r="G73" s="16"/>
      <c r="H73" s="16"/>
      <c r="I73" s="16">
        <f>0.25+1.42</f>
        <v>1.67</v>
      </c>
      <c r="J73" s="16"/>
      <c r="K73" s="16"/>
      <c r="L73" s="16"/>
      <c r="M73" s="16"/>
      <c r="N73" s="30">
        <f>R73*$X$77</f>
        <v>0</v>
      </c>
      <c r="O73" s="21">
        <f>SUM(G73:I73)</f>
        <v>1.67</v>
      </c>
      <c r="P73" s="21">
        <f>SUM(K73:M73)</f>
        <v>0</v>
      </c>
      <c r="Q73" s="30">
        <f>($C$77*R73)+($C$77*S73)</f>
        <v>0</v>
      </c>
      <c r="R73" s="11">
        <f>K73/$P$75</f>
        <v>0</v>
      </c>
      <c r="S73" s="11">
        <f>M73/$P$75</f>
        <v>0</v>
      </c>
      <c r="T73" s="11">
        <f>+O73/$O$75</f>
        <v>1.2082221907586047E-05</v>
      </c>
      <c r="V73" s="16">
        <f>+$V$75*T73</f>
        <v>0.20184596165478902</v>
      </c>
      <c r="W73" s="16"/>
      <c r="X73" s="16">
        <f t="shared" si="8"/>
        <v>1.871845961654789</v>
      </c>
      <c r="Z73" s="30">
        <f>K73+M73-Q73</f>
        <v>0</v>
      </c>
    </row>
    <row r="74" spans="7:26" ht="12.75">
      <c r="G74" s="16"/>
      <c r="H74" s="16"/>
      <c r="I74" s="16"/>
      <c r="J74" s="16"/>
      <c r="K74" s="16"/>
      <c r="L74" s="16"/>
      <c r="M74" s="16"/>
      <c r="N74" s="16"/>
      <c r="O74" s="21"/>
      <c r="P74" s="21"/>
      <c r="T74" s="11"/>
      <c r="V74" s="16"/>
      <c r="W74" s="16"/>
      <c r="X74" s="16"/>
      <c r="Z74" s="21"/>
    </row>
    <row r="75" spans="1:28" s="5" customFormat="1" ht="13.5" thickBot="1">
      <c r="A75" s="5" t="s">
        <v>49</v>
      </c>
      <c r="G75" s="17">
        <f>SUM(G6:G73)</f>
        <v>89738.12999999999</v>
      </c>
      <c r="H75" s="18"/>
      <c r="I75" s="17">
        <f>SUM(I6:I73)</f>
        <v>48481.479999999996</v>
      </c>
      <c r="J75" s="18"/>
      <c r="K75" s="17">
        <f>SUM(K6:K73)</f>
        <v>335.25</v>
      </c>
      <c r="L75" s="18"/>
      <c r="M75" s="17">
        <f>SUM(M6:M73)</f>
        <v>1694.0599999999997</v>
      </c>
      <c r="N75" s="17">
        <f>SUM(N6:N73)</f>
        <v>0</v>
      </c>
      <c r="O75" s="17">
        <f>SUM(O6:O73)</f>
        <v>138219.61000000004</v>
      </c>
      <c r="P75" s="17">
        <f>SUM(P6:P74)</f>
        <v>2029.31</v>
      </c>
      <c r="Q75" s="17">
        <f>SUM(Q6:Q73)</f>
        <v>290.8399999999999</v>
      </c>
      <c r="R75" s="17"/>
      <c r="S75" s="29"/>
      <c r="T75" s="12"/>
      <c r="V75" s="17">
        <f>155131.24-205.6-O75</f>
        <v>16706.02999999994</v>
      </c>
      <c r="W75" s="18"/>
      <c r="X75" s="17">
        <f>SUM(X6:X73)</f>
        <v>154925.63999999993</v>
      </c>
      <c r="Y75" s="15"/>
      <c r="Z75" s="17">
        <f>SUM(Z4:Z74)</f>
        <v>1739.0182754236662</v>
      </c>
      <c r="AB75" s="33"/>
    </row>
    <row r="76" ht="13.5" thickTop="1"/>
    <row r="77" spans="1:25" ht="12.75">
      <c r="A77" s="22" t="s">
        <v>68</v>
      </c>
      <c r="B77" s="23"/>
      <c r="C77" s="35">
        <v>290.84</v>
      </c>
      <c r="D77" s="23"/>
      <c r="E77" s="36"/>
      <c r="F77" s="36"/>
      <c r="G77" s="36"/>
      <c r="H77" s="36"/>
      <c r="I77" s="36"/>
      <c r="J77" s="36"/>
      <c r="K77" s="36"/>
      <c r="L77" s="36"/>
      <c r="M77" s="37"/>
      <c r="N77" s="36"/>
      <c r="O77" s="36"/>
      <c r="P77" s="36"/>
      <c r="Q77" s="36"/>
      <c r="R77" s="36"/>
      <c r="S77" s="38"/>
      <c r="T77" s="36"/>
      <c r="U77" s="36"/>
      <c r="V77" s="36"/>
      <c r="W77" s="36"/>
      <c r="X77" s="19"/>
      <c r="Y77" s="39"/>
    </row>
    <row r="79" spans="1:14" ht="12.75" hidden="1">
      <c r="A79" t="s">
        <v>50</v>
      </c>
      <c r="B79" s="15"/>
      <c r="D79" s="15"/>
      <c r="G79" s="16"/>
      <c r="I79" s="16"/>
      <c r="K79" s="16"/>
      <c r="M79" s="10"/>
      <c r="N79" s="21"/>
    </row>
    <row r="80" spans="1:13" ht="12.75" hidden="1">
      <c r="A80" t="s">
        <v>51</v>
      </c>
      <c r="B80" s="15"/>
      <c r="D80" s="15"/>
      <c r="G80" s="16"/>
      <c r="I80" s="16"/>
      <c r="K80" s="16"/>
      <c r="M80" s="10"/>
    </row>
    <row r="81" spans="1:13" ht="13.5" customHeight="1" hidden="1">
      <c r="A81" t="s">
        <v>52</v>
      </c>
      <c r="B81" s="15"/>
      <c r="D81" s="15"/>
      <c r="G81" s="16"/>
      <c r="I81" s="16"/>
      <c r="K81" s="16"/>
      <c r="M81" s="10"/>
    </row>
    <row r="82" spans="1:13" ht="12.75" hidden="1">
      <c r="A82" s="34" t="s">
        <v>53</v>
      </c>
      <c r="B82" s="34"/>
      <c r="C82" s="34"/>
      <c r="D82" s="34"/>
      <c r="E82" s="34"/>
      <c r="G82" s="16"/>
      <c r="I82" s="16"/>
      <c r="K82" s="16"/>
      <c r="M82" s="10"/>
    </row>
    <row r="83" spans="1:13" ht="27" customHeight="1" hidden="1">
      <c r="A83" s="34"/>
      <c r="B83" s="34"/>
      <c r="C83" s="34"/>
      <c r="D83" s="34"/>
      <c r="E83" s="34"/>
      <c r="G83" s="16"/>
      <c r="I83" s="16"/>
      <c r="K83" s="16"/>
      <c r="M83" s="10"/>
    </row>
    <row r="84" spans="1:13" ht="12.75" hidden="1">
      <c r="A84" t="s">
        <v>54</v>
      </c>
      <c r="B84" s="15"/>
      <c r="D84" s="15"/>
      <c r="G84" s="16"/>
      <c r="I84" s="16"/>
      <c r="K84" s="16"/>
      <c r="M84" s="10"/>
    </row>
    <row r="85" spans="1:13" ht="12.75" hidden="1">
      <c r="A85" t="s">
        <v>55</v>
      </c>
      <c r="B85" s="15"/>
      <c r="D85" s="15"/>
      <c r="G85" s="16"/>
      <c r="I85" s="16"/>
      <c r="K85" s="16"/>
      <c r="M85" s="10"/>
    </row>
    <row r="86" ht="12.75" hidden="1">
      <c r="A86" t="s">
        <v>69</v>
      </c>
    </row>
    <row r="87" ht="12.75" hidden="1"/>
  </sheetData>
  <mergeCells count="1">
    <mergeCell ref="A82:E83"/>
  </mergeCells>
  <printOptions horizontalCentered="1" verticalCentered="1"/>
  <pageMargins left="0" right="0" top="0.75" bottom="0.25" header="0.25" footer="0"/>
  <pageSetup fitToHeight="1" fitToWidth="1" horizontalDpi="600" verticalDpi="600" orientation="landscape" scale="62" r:id="rId1"/>
  <headerFooter alignWithMargins="0">
    <oddHeader>&amp;C&amp;"Arial,Bold"&amp;12DEVLIN ROAD TRANSFER STATION
FOR THE PERIOD MARCH-SEPT 2005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hs623901</dc:creator>
  <cp:keywords/>
  <dc:description/>
  <cp:lastModifiedBy>ALLIED WASTE</cp:lastModifiedBy>
  <cp:lastPrinted>2005-10-27T17:23:03Z</cp:lastPrinted>
  <dcterms:created xsi:type="dcterms:W3CDTF">2005-05-13T21:29:58Z</dcterms:created>
  <dcterms:modified xsi:type="dcterms:W3CDTF">2005-10-27T17:24:49Z</dcterms:modified>
  <cp:category/>
  <cp:version/>
  <cp:contentType/>
  <cp:contentStatus/>
</cp:coreProperties>
</file>