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2000" windowHeight="6120" tabRatio="601" activeTab="0"/>
  </bookViews>
  <sheets>
    <sheet name="SUMMARY" sheetId="1" r:id="rId1"/>
    <sheet name="detail" sheetId="2" r:id="rId2"/>
  </sheets>
  <externalReferences>
    <externalReference r:id="rId5"/>
  </externalReferences>
  <definedNames>
    <definedName name="_xlnm.Print_Area" localSheetId="1">'detail'!$A$1:$Q$117</definedName>
    <definedName name="_xlnm.Print_Area" localSheetId="0">'SUMMARY'!$A$1:$L$30</definedName>
  </definedNames>
  <calcPr fullCalcOnLoad="1"/>
</workbook>
</file>

<file path=xl/comments1.xml><?xml version="1.0" encoding="utf-8"?>
<comments xmlns="http://schemas.openxmlformats.org/spreadsheetml/2006/main">
  <authors>
    <author>Preferred Customer</author>
    <author>tcave</author>
    <author>Napa County</author>
  </authors>
  <commentList>
    <comment ref="C9" authorId="0">
      <text>
        <r>
          <rPr>
            <b/>
            <sz val="10"/>
            <rFont val="Tahoma"/>
            <family val="0"/>
          </rPr>
          <t>Preferred Customer:</t>
        </r>
        <r>
          <rPr>
            <sz val="10"/>
            <rFont val="Tahoma"/>
            <family val="0"/>
          </rPr>
          <t xml:space="preserve">
$1,680,750 Fron Closure didn't happen</t>
        </r>
      </text>
    </comment>
    <comment ref="G15" authorId="1">
      <text>
        <r>
          <rPr>
            <b/>
            <sz val="8"/>
            <rFont val="Tahoma"/>
            <family val="0"/>
          </rPr>
          <t>tcave:</t>
        </r>
        <r>
          <rPr>
            <sz val="8"/>
            <rFont val="Tahoma"/>
            <family val="0"/>
          </rPr>
          <t xml:space="preserve">
Some of the landfill costs are lowering landfill closure costs and will be recovered in closure fund surplus</t>
        </r>
      </text>
    </comment>
    <comment ref="H15" authorId="1">
      <text>
        <r>
          <rPr>
            <b/>
            <sz val="8"/>
            <rFont val="Tahoma"/>
            <family val="0"/>
          </rPr>
          <t>tcave:</t>
        </r>
        <r>
          <rPr>
            <sz val="8"/>
            <rFont val="Tahoma"/>
            <family val="0"/>
          </rPr>
          <t xml:space="preserve">
Some of the landfill costs are lowering landfill closure costs and will be recovered in closure fund surplus</t>
        </r>
      </text>
    </comment>
    <comment ref="I15" authorId="1">
      <text>
        <r>
          <rPr>
            <b/>
            <sz val="8"/>
            <rFont val="Tahoma"/>
            <family val="0"/>
          </rPr>
          <t>tcave:</t>
        </r>
        <r>
          <rPr>
            <sz val="8"/>
            <rFont val="Tahoma"/>
            <family val="0"/>
          </rPr>
          <t xml:space="preserve">
Some of the landfill costs are lowering landfill closure costs and will be recovered in closure fund surplus</t>
        </r>
      </text>
    </comment>
    <comment ref="H19" authorId="1">
      <text>
        <r>
          <rPr>
            <b/>
            <sz val="8"/>
            <rFont val="Tahoma"/>
            <family val="0"/>
          </rPr>
          <t>tcave:</t>
        </r>
        <r>
          <rPr>
            <sz val="8"/>
            <rFont val="Tahoma"/>
            <family val="0"/>
          </rPr>
          <t xml:space="preserve">
Increase in insurance</t>
        </r>
      </text>
    </comment>
    <comment ref="L9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1 million Sale of Quarry</t>
        </r>
      </text>
    </comment>
    <comment ref="L11" authorId="2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Op Lia Trust</t>
        </r>
      </text>
    </comment>
  </commentList>
</comments>
</file>

<file path=xl/comments2.xml><?xml version="1.0" encoding="utf-8"?>
<comments xmlns="http://schemas.openxmlformats.org/spreadsheetml/2006/main">
  <authors>
    <author>tcave</author>
    <author>Napa County</author>
  </authors>
  <commentList>
    <comment ref="O71" authorId="0">
      <text>
        <r>
          <rPr>
            <b/>
            <sz val="8"/>
            <rFont val="Tahoma"/>
            <family val="0"/>
          </rPr>
          <t>tcave:</t>
        </r>
        <r>
          <rPr>
            <sz val="8"/>
            <rFont val="Tahoma"/>
            <family val="0"/>
          </rPr>
          <t xml:space="preserve">
Stormwater $830
Quarry insp/ $2,427.98
Air$ 2,299.00</t>
        </r>
      </text>
    </comment>
    <comment ref="O58" authorId="0">
      <text>
        <r>
          <rPr>
            <b/>
            <sz val="8"/>
            <rFont val="Tahoma"/>
            <family val="0"/>
          </rPr>
          <t>tcave:</t>
        </r>
        <r>
          <rPr>
            <sz val="8"/>
            <rFont val="Tahoma"/>
            <family val="0"/>
          </rPr>
          <t xml:space="preserve">
tcave:
PSS-Other Emcon GW&amp;LFG Monitoring 
  1. Semi Annual Reports  $    8,000.00 
 2. Compliance Certification  $    1,500.00 
 3. Annual 8-34 Report  $    4,500.00 
 4. RWQCB Reports  $100,000.00 
 5. Monthly Air  $  60,000.00 
 TOTAL  $174,000.00 
</t>
        </r>
      </text>
    </comment>
    <comment ref="P58" authorId="0">
      <text>
        <r>
          <rPr>
            <b/>
            <sz val="8"/>
            <rFont val="Tahoma"/>
            <family val="0"/>
          </rPr>
          <t>tcave:</t>
        </r>
        <r>
          <rPr>
            <sz val="8"/>
            <rFont val="Tahoma"/>
            <family val="0"/>
          </rPr>
          <t xml:space="preserve">
tcave:
PSS-Other Emcon GW&amp;LFG Monitoring 
  1. Semi Annual Reports  $    8,000.00 
 2. Compliance Certification  $    1,500.00 
 3. Annual 8-34 Report  $    4,500.00 
 4. RWQCB Reports  $100,000.00 
 5. Monthly Air  $  60,000.00 
 TOTAL  $174,000.00 
</t>
        </r>
      </text>
    </comment>
    <comment ref="P71" authorId="0">
      <text>
        <r>
          <rPr>
            <b/>
            <sz val="8"/>
            <rFont val="Tahoma"/>
            <family val="0"/>
          </rPr>
          <t>tcave:</t>
        </r>
        <r>
          <rPr>
            <sz val="8"/>
            <rFont val="Tahoma"/>
            <family val="0"/>
          </rPr>
          <t xml:space="preserve">
Stormwater $830
Quarry insp/ $2,427.98
Air$ 2,299.00</t>
        </r>
      </text>
    </comment>
    <comment ref="Q58" authorId="0">
      <text>
        <r>
          <rPr>
            <b/>
            <sz val="8"/>
            <rFont val="Tahoma"/>
            <family val="0"/>
          </rPr>
          <t>tcave:</t>
        </r>
        <r>
          <rPr>
            <sz val="8"/>
            <rFont val="Tahoma"/>
            <family val="0"/>
          </rPr>
          <t xml:space="preserve">
tcave:
PSS-Other Emcon GW&amp;LFG Monitoring 
  1. Semi Annual Reports  $    8,000.00 
 2. Compliance Certification  $    1,500.00 
 3. Annual 8-34 Report  $    4,500.00 
 4. RWQCB Reports  $100,000.00 
 5. Monthly Air  $  60,000.00 
 TOTAL  $174,000.00 
</t>
        </r>
      </text>
    </comment>
    <comment ref="Q71" authorId="0">
      <text>
        <r>
          <rPr>
            <b/>
            <sz val="8"/>
            <rFont val="Tahoma"/>
            <family val="0"/>
          </rPr>
          <t>tcave:</t>
        </r>
        <r>
          <rPr>
            <sz val="8"/>
            <rFont val="Tahoma"/>
            <family val="0"/>
          </rPr>
          <t xml:space="preserve">
Stormwater $830
Quarry insp/ $2,427.98
Air$ 2,299.00</t>
        </r>
      </text>
    </comment>
    <comment ref="P65" authorId="1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13 payments</t>
        </r>
      </text>
    </comment>
    <comment ref="P64" authorId="1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13 payments</t>
        </r>
      </text>
    </comment>
  </commentList>
</comments>
</file>

<file path=xl/sharedStrings.xml><?xml version="1.0" encoding="utf-8"?>
<sst xmlns="http://schemas.openxmlformats.org/spreadsheetml/2006/main" count="358" uniqueCount="137">
  <si>
    <t>Actuals</t>
  </si>
  <si>
    <t xml:space="preserve">FY 98-99 </t>
  </si>
  <si>
    <t xml:space="preserve">FY 99-00 </t>
  </si>
  <si>
    <t>fy 2000-01</t>
  </si>
  <si>
    <t>fy 2001-02</t>
  </si>
  <si>
    <t>fy 2002-3</t>
  </si>
  <si>
    <t>fy 2003-04</t>
  </si>
  <si>
    <t>OPERATING REVENUES</t>
  </si>
  <si>
    <t>INTEREST FR INVMNT</t>
  </si>
  <si>
    <t>TRANSFER\DISPOSAL SERVICES</t>
  </si>
  <si>
    <t>GAS COLLECTION SYSTEM</t>
  </si>
  <si>
    <t>OTHER REVENUES</t>
  </si>
  <si>
    <t xml:space="preserve">RATE STAB </t>
  </si>
  <si>
    <t>From Restricted Accounts</t>
  </si>
  <si>
    <t>From Retained Earings</t>
  </si>
  <si>
    <t>TOTAL OPERATING REVENUES</t>
  </si>
  <si>
    <t>OPERATING EXPENSES</t>
  </si>
  <si>
    <t>LANDFILL</t>
  </si>
  <si>
    <t>TRANSFER STATION</t>
  </si>
  <si>
    <t>GENERAL &amp; ADM EXPENSES</t>
  </si>
  <si>
    <t>TOTAL OPERATING EXPENSES</t>
  </si>
  <si>
    <t>NET REVENUES</t>
  </si>
  <si>
    <t>DEBT SERVICE</t>
  </si>
  <si>
    <t>COVERAGE RATIO</t>
  </si>
  <si>
    <t>STATE FEES</t>
  </si>
  <si>
    <t>NET Income(Loss)</t>
  </si>
  <si>
    <t>Retained earning(unrestricted)</t>
  </si>
  <si>
    <t>PROJECTED WASTE (TONS)</t>
  </si>
  <si>
    <t>PROJECTED TIPP FEE($/TON)</t>
  </si>
  <si>
    <t xml:space="preserve"> </t>
  </si>
  <si>
    <t>Proposed</t>
  </si>
  <si>
    <t>STATEMENT OF BUDGETARY ACCOUNTS</t>
  </si>
  <si>
    <t>LANDFILL/TRANSFER STATION OPERATIONS &amp; MAINTENANCE</t>
  </si>
  <si>
    <t>COMPANY - 0208</t>
  </si>
  <si>
    <t>CENTER -  4140820800</t>
  </si>
  <si>
    <t>ESTIMATED REVENUE AND REVENUE</t>
  </si>
  <si>
    <t>-</t>
  </si>
  <si>
    <t>--------------------</t>
  </si>
  <si>
    <t>FY 1993-94</t>
  </si>
  <si>
    <t>FY 1994-95</t>
  </si>
  <si>
    <t>FY 1995-96</t>
  </si>
  <si>
    <t>FY 1996-97</t>
  </si>
  <si>
    <t>FY 1997-98</t>
  </si>
  <si>
    <t>FY 1998-99</t>
  </si>
  <si>
    <t>FY 1999-00</t>
  </si>
  <si>
    <t>FY 2000-01</t>
  </si>
  <si>
    <t>FY 2001-02</t>
  </si>
  <si>
    <t>FY 2002-03</t>
  </si>
  <si>
    <t>FY 2003-04</t>
  </si>
  <si>
    <t>ACCT #</t>
  </si>
  <si>
    <t>ACCOUNT/CLASS DESCRIPTION</t>
  </si>
  <si>
    <t>ACTUAL</t>
  </si>
  <si>
    <t xml:space="preserve">ACTUAL </t>
  </si>
  <si>
    <t>FINAL</t>
  </si>
  <si>
    <t>4400030</t>
  </si>
  <si>
    <t>INTEREST:INVESTD FUNDS-REV</t>
  </si>
  <si>
    <t>TOTAL USE OF MONEY/PROP</t>
  </si>
  <si>
    <t>4609130</t>
  </si>
  <si>
    <t>CS:TRUST-REV</t>
  </si>
  <si>
    <t>4600130</t>
  </si>
  <si>
    <t>LANDFILL FEES-REV</t>
  </si>
  <si>
    <t>4600140</t>
  </si>
  <si>
    <t>GAS ROYALTIES-REV</t>
  </si>
  <si>
    <t>TOTAL CHARGES FOR SERVICES</t>
  </si>
  <si>
    <t>4804000</t>
  </si>
  <si>
    <t>O/R:MISCELLANEOUS-REV</t>
  </si>
  <si>
    <t>TOTAL MISCELLANEOUS</t>
  </si>
  <si>
    <t>=</t>
  </si>
  <si>
    <t>TOTAL ESTIMATE REVENUE &amp; REVENUE ACCOUNTS</t>
  </si>
  <si>
    <t>APPROPRIATIONS/ENCUMBERANCES/EXPENDITURES</t>
  </si>
  <si>
    <t xml:space="preserve">S/W:Extra Help </t>
  </si>
  <si>
    <t>E/B: Medicare</t>
  </si>
  <si>
    <t>E/B: INS:WORKERS COMP</t>
  </si>
  <si>
    <t>TOTAL ESTIMATE SALARY &amp; BENEFITS</t>
  </si>
  <si>
    <t>Directors Compensation</t>
  </si>
  <si>
    <t>SERVICE &amp; SUPPLIES-EXP</t>
  </si>
  <si>
    <t>COMMUNICATIONS</t>
  </si>
  <si>
    <t>HOUSEHOLD EXPENSE-EXP</t>
  </si>
  <si>
    <t>INSURANCE:E&amp;O LIABILITY-EXP</t>
  </si>
  <si>
    <t>Memberships</t>
  </si>
  <si>
    <t>OFFICE EXPENSE-EXP</t>
  </si>
  <si>
    <t>PSS:LEGAL EXPENSE-EXP</t>
  </si>
  <si>
    <t>PSS:ADMINISTRATION-EXP</t>
  </si>
  <si>
    <t>PUBLICTNS/LGL NOTICE-EXP</t>
  </si>
  <si>
    <t>SDE:OTHER-EXP</t>
  </si>
  <si>
    <t>TRANSPORTATION &amp; TRAV-EXP</t>
  </si>
  <si>
    <t>T/T:PRIVATE VEH MILE</t>
  </si>
  <si>
    <t>INSURANCE:OPERATOR LIAB-EXP</t>
  </si>
  <si>
    <t>PSS:OTHER-EXP</t>
  </si>
  <si>
    <t>PSS:LANDFILL/QRRY OP-EXP</t>
  </si>
  <si>
    <t>PSS:LEACHATE DISPOSAL-EXP</t>
  </si>
  <si>
    <t>SDE:POST CLOSURE-EXP</t>
  </si>
  <si>
    <t>PROF/SPECIAL</t>
  </si>
  <si>
    <t>52189110</t>
  </si>
  <si>
    <t>PSS:TRANSFER STATION OP-EXP</t>
  </si>
  <si>
    <t>52189120</t>
  </si>
  <si>
    <t>PSS:TRANSFER STATION DISP-EXP</t>
  </si>
  <si>
    <t>52181400</t>
  </si>
  <si>
    <t>PSS:HOUSEHLD WASTECOLL</t>
  </si>
  <si>
    <t>5223230</t>
  </si>
  <si>
    <t>SDE:HOUSEHLD WASTECOLL</t>
  </si>
  <si>
    <t>52184000</t>
  </si>
  <si>
    <t>PSS:WATER</t>
  </si>
  <si>
    <t>SDE:STATE &amp; LOCAL FEE-EXP</t>
  </si>
  <si>
    <t>SDE:ST REGULATRY FEES-EXP</t>
  </si>
  <si>
    <t>TOTAL SERVICES &amp; SUPPLIES</t>
  </si>
  <si>
    <t>TOTAL APPROP/ENCUMBR/EXPENSES</t>
  </si>
  <si>
    <t>DEBT SERVICE FUND - TRANSFER STATION</t>
  </si>
  <si>
    <t>CENTER -  8484020801</t>
  </si>
  <si>
    <t>IE:LTD REV 94 BONS-REV</t>
  </si>
  <si>
    <t>IE:LTD COP 94 LNDFILL-REV</t>
  </si>
  <si>
    <t>O/FS:LTD PRCDS 94 BOND-REV</t>
  </si>
  <si>
    <t>APPROPRIATIONS/ENCUMBERANCES/EXPENDITIRES</t>
  </si>
  <si>
    <t>5346500</t>
  </si>
  <si>
    <t>1994 BOND REDEMPTION</t>
  </si>
  <si>
    <t>5356500</t>
  </si>
  <si>
    <t>1994 BOND INTEREST</t>
  </si>
  <si>
    <t>5366500</t>
  </si>
  <si>
    <t>1994 BOND PAYING AGENT FEES</t>
  </si>
  <si>
    <t>5390000</t>
  </si>
  <si>
    <t>COST OF ISSUANCE-EXP</t>
  </si>
  <si>
    <t>TRANSFER TO O&amp;M RESERVE TRUST</t>
  </si>
  <si>
    <t>TOTAL OTHER CHARGES</t>
  </si>
  <si>
    <t>Napa-Vallejo Waste Management Authority</t>
  </si>
  <si>
    <t>PROPOSED</t>
  </si>
  <si>
    <t>FY 2004-05</t>
  </si>
  <si>
    <t xml:space="preserve">Projected </t>
  </si>
  <si>
    <t>2004-05 proposed</t>
  </si>
  <si>
    <t>Tons=</t>
  </si>
  <si>
    <t>fy 2004-05</t>
  </si>
  <si>
    <t xml:space="preserve"> Budget Fiscal Year 2005-06</t>
  </si>
  <si>
    <t>fy 2005-06</t>
  </si>
  <si>
    <t>FY 2005-06</t>
  </si>
  <si>
    <t>ESTIMATE</t>
  </si>
  <si>
    <t>FISCAL YEAR 2005-06</t>
  </si>
  <si>
    <t>Final Budget</t>
  </si>
  <si>
    <t>NAPA-VALLEJO WASTE MANAGEMENT AUTHORITY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</si>
</sst>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General_)"/>
    <numFmt numFmtId="168" formatCode="&quot;$&quot;#,##0.0_);[Red]\(&quot;$&quot;#,##0.0\)"/>
    <numFmt numFmtId="169" formatCode="mmmm\ d\,\ yyyy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44" fontId="0" fillId="0" borderId="3" xfId="17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6" fontId="0" fillId="0" borderId="6" xfId="17" applyNumberFormat="1" applyBorder="1" applyAlignment="1">
      <alignment/>
    </xf>
    <xf numFmtId="6" fontId="0" fillId="0" borderId="7" xfId="17" applyNumberFormat="1" applyBorder="1" applyAlignment="1">
      <alignment/>
    </xf>
    <xf numFmtId="164" fontId="0" fillId="0" borderId="6" xfId="17" applyNumberFormat="1" applyBorder="1" applyAlignment="1">
      <alignment/>
    </xf>
    <xf numFmtId="164" fontId="0" fillId="0" borderId="7" xfId="17" applyNumberFormat="1" applyBorder="1" applyAlignment="1">
      <alignment/>
    </xf>
    <xf numFmtId="164" fontId="0" fillId="0" borderId="6" xfId="17" applyNumberFormat="1" applyFont="1" applyBorder="1" applyAlignment="1">
      <alignment/>
    </xf>
    <xf numFmtId="6" fontId="0" fillId="0" borderId="6" xfId="17" applyNumberFormat="1" applyFont="1" applyBorder="1" applyAlignment="1">
      <alignment/>
    </xf>
    <xf numFmtId="6" fontId="0" fillId="0" borderId="7" xfId="17" applyNumberFormat="1" applyFont="1" applyBorder="1" applyAlignment="1">
      <alignment/>
    </xf>
    <xf numFmtId="6" fontId="0" fillId="0" borderId="6" xfId="17" applyNumberFormat="1" applyFont="1" applyFill="1" applyBorder="1" applyAlignment="1">
      <alignment/>
    </xf>
    <xf numFmtId="41" fontId="0" fillId="0" borderId="6" xfId="17" applyNumberFormat="1" applyFont="1" applyBorder="1" applyAlignment="1">
      <alignment/>
    </xf>
    <xf numFmtId="41" fontId="0" fillId="0" borderId="7" xfId="17" applyNumberFormat="1" applyFont="1" applyBorder="1" applyAlignment="1">
      <alignment/>
    </xf>
    <xf numFmtId="0" fontId="0" fillId="0" borderId="6" xfId="0" applyBorder="1" applyAlignment="1">
      <alignment/>
    </xf>
    <xf numFmtId="165" fontId="0" fillId="0" borderId="7" xfId="17" applyNumberFormat="1" applyFont="1" applyBorder="1" applyAlignment="1">
      <alignment/>
    </xf>
    <xf numFmtId="0" fontId="0" fillId="0" borderId="8" xfId="0" applyBorder="1" applyAlignment="1">
      <alignment/>
    </xf>
    <xf numFmtId="42" fontId="0" fillId="0" borderId="4" xfId="18" applyBorder="1" applyAlignment="1">
      <alignment/>
    </xf>
    <xf numFmtId="42" fontId="0" fillId="0" borderId="5" xfId="18" applyBorder="1" applyAlignment="1">
      <alignment/>
    </xf>
    <xf numFmtId="6" fontId="0" fillId="0" borderId="9" xfId="17" applyNumberFormat="1" applyBorder="1" applyAlignment="1">
      <alignment/>
    </xf>
    <xf numFmtId="6" fontId="0" fillId="0" borderId="10" xfId="17" applyNumberFormat="1" applyBorder="1" applyAlignment="1">
      <alignment/>
    </xf>
    <xf numFmtId="41" fontId="0" fillId="0" borderId="6" xfId="17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7" xfId="0" applyNumberFormat="1" applyBorder="1" applyAlignment="1">
      <alignment/>
    </xf>
    <xf numFmtId="0" fontId="0" fillId="0" borderId="0" xfId="0" applyAlignment="1">
      <alignment horizontal="left"/>
    </xf>
    <xf numFmtId="6" fontId="0" fillId="0" borderId="2" xfId="17" applyNumberFormat="1" applyBorder="1" applyAlignment="1">
      <alignment/>
    </xf>
    <xf numFmtId="6" fontId="0" fillId="0" borderId="3" xfId="17" applyNumberFormat="1" applyBorder="1" applyAlignment="1">
      <alignment/>
    </xf>
    <xf numFmtId="6" fontId="0" fillId="0" borderId="4" xfId="17" applyNumberFormat="1" applyBorder="1" applyAlignment="1">
      <alignment/>
    </xf>
    <xf numFmtId="6" fontId="0" fillId="0" borderId="11" xfId="17" applyNumberFormat="1" applyBorder="1" applyAlignment="1">
      <alignment/>
    </xf>
    <xf numFmtId="41" fontId="0" fillId="0" borderId="4" xfId="17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11" xfId="0" applyNumberFormat="1" applyBorder="1" applyAlignment="1">
      <alignment/>
    </xf>
    <xf numFmtId="41" fontId="0" fillId="0" borderId="11" xfId="17" applyNumberFormat="1" applyBorder="1" applyAlignment="1">
      <alignment/>
    </xf>
    <xf numFmtId="6" fontId="0" fillId="0" borderId="12" xfId="17" applyNumberFormat="1" applyBorder="1" applyAlignment="1">
      <alignment/>
    </xf>
    <xf numFmtId="3" fontId="0" fillId="0" borderId="4" xfId="0" applyNumberFormat="1" applyBorder="1" applyAlignment="1">
      <alignment/>
    </xf>
    <xf numFmtId="6" fontId="0" fillId="0" borderId="13" xfId="17" applyNumberFormat="1" applyBorder="1" applyAlignment="1">
      <alignment/>
    </xf>
    <xf numFmtId="6" fontId="1" fillId="0" borderId="13" xfId="17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4" fontId="0" fillId="0" borderId="4" xfId="17" applyBorder="1" applyAlignment="1">
      <alignment/>
    </xf>
    <xf numFmtId="44" fontId="0" fillId="0" borderId="4" xfId="17" applyFont="1" applyBorder="1" applyAlignment="1">
      <alignment/>
    </xf>
    <xf numFmtId="44" fontId="0" fillId="0" borderId="4" xfId="17" applyFont="1" applyBorder="1" applyAlignment="1">
      <alignment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64" fontId="0" fillId="0" borderId="6" xfId="15" applyNumberFormat="1" applyBorder="1" applyAlignment="1">
      <alignment/>
    </xf>
    <xf numFmtId="1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 horizontal="fill"/>
      <protection/>
    </xf>
    <xf numFmtId="167" fontId="0" fillId="0" borderId="0" xfId="0" applyNumberFormat="1" applyAlignment="1" applyProtection="1">
      <alignment horizontal="fill"/>
      <protection/>
    </xf>
    <xf numFmtId="167" fontId="0" fillId="0" borderId="0" xfId="0" applyNumberFormat="1" applyAlignment="1" applyProtection="1">
      <alignment horizontal="left"/>
      <protection/>
    </xf>
    <xf numFmtId="167" fontId="0" fillId="0" borderId="0" xfId="0" applyNumberFormat="1" applyAlignment="1" applyProtection="1">
      <alignment horizontal="center"/>
      <protection/>
    </xf>
    <xf numFmtId="41" fontId="0" fillId="0" borderId="0" xfId="0" applyNumberFormat="1" applyAlignment="1" applyProtection="1">
      <alignment horizontal="left"/>
      <protection/>
    </xf>
    <xf numFmtId="41" fontId="0" fillId="0" borderId="0" xfId="0" applyNumberFormat="1" applyAlignment="1" applyProtection="1">
      <alignment horizontal="fill"/>
      <protection/>
    </xf>
    <xf numFmtId="41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41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41" fontId="0" fillId="0" borderId="0" xfId="15" applyNumberFormat="1" applyAlignment="1" applyProtection="1">
      <alignment horizontal="right"/>
      <protection/>
    </xf>
    <xf numFmtId="49" fontId="0" fillId="0" borderId="0" xfId="0" applyNumberFormat="1" applyAlignment="1">
      <alignment/>
    </xf>
    <xf numFmtId="41" fontId="0" fillId="0" borderId="0" xfId="15" applyNumberFormat="1" applyAlignment="1">
      <alignment/>
    </xf>
    <xf numFmtId="41" fontId="0" fillId="0" borderId="6" xfId="15" applyNumberFormat="1" applyBorder="1" applyAlignment="1">
      <alignment/>
    </xf>
    <xf numFmtId="41" fontId="0" fillId="0" borderId="0" xfId="15" applyNumberFormat="1" applyBorder="1" applyAlignment="1">
      <alignment/>
    </xf>
    <xf numFmtId="41" fontId="0" fillId="0" borderId="0" xfId="17" applyNumberFormat="1" applyAlignment="1" applyProtection="1">
      <alignment/>
      <protection/>
    </xf>
    <xf numFmtId="1" fontId="0" fillId="0" borderId="0" xfId="0" applyNumberFormat="1" applyAlignment="1">
      <alignment horizontal="left"/>
    </xf>
    <xf numFmtId="164" fontId="0" fillId="0" borderId="4" xfId="17" applyNumberFormat="1" applyFill="1" applyBorder="1" applyAlignment="1">
      <alignment/>
    </xf>
    <xf numFmtId="6" fontId="0" fillId="0" borderId="9" xfId="17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6" fontId="0" fillId="0" borderId="0" xfId="0" applyNumberFormat="1" applyAlignment="1" applyProtection="1">
      <alignment/>
      <protection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42" fontId="0" fillId="2" borderId="4" xfId="18" applyFill="1" applyBorder="1" applyAlignment="1">
      <alignment/>
    </xf>
    <xf numFmtId="6" fontId="0" fillId="2" borderId="9" xfId="17" applyNumberFormat="1" applyFill="1" applyBorder="1" applyAlignment="1">
      <alignment/>
    </xf>
    <xf numFmtId="41" fontId="0" fillId="2" borderId="6" xfId="0" applyNumberFormat="1" applyFill="1" applyBorder="1" applyAlignment="1">
      <alignment/>
    </xf>
    <xf numFmtId="41" fontId="0" fillId="2" borderId="6" xfId="17" applyNumberFormat="1" applyFill="1" applyBorder="1" applyAlignment="1">
      <alignment/>
    </xf>
    <xf numFmtId="6" fontId="0" fillId="2" borderId="2" xfId="17" applyNumberFormat="1" applyFill="1" applyBorder="1" applyAlignment="1">
      <alignment/>
    </xf>
    <xf numFmtId="164" fontId="0" fillId="2" borderId="4" xfId="17" applyNumberFormat="1" applyFill="1" applyBorder="1" applyAlignment="1">
      <alignment/>
    </xf>
    <xf numFmtId="41" fontId="0" fillId="2" borderId="4" xfId="17" applyNumberFormat="1" applyFill="1" applyBorder="1" applyAlignment="1">
      <alignment/>
    </xf>
    <xf numFmtId="6" fontId="0" fillId="2" borderId="13" xfId="17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44" fontId="0" fillId="2" borderId="4" xfId="17" applyFill="1" applyBorder="1" applyAlignment="1">
      <alignment/>
    </xf>
    <xf numFmtId="169" fontId="0" fillId="0" borderId="0" xfId="0" applyNumberFormat="1" applyAlignment="1">
      <alignment/>
    </xf>
    <xf numFmtId="41" fontId="1" fillId="0" borderId="0" xfId="0" applyNumberFormat="1" applyFont="1" applyAlignment="1" applyProtection="1">
      <alignment/>
      <protection/>
    </xf>
    <xf numFmtId="6" fontId="0" fillId="2" borderId="4" xfId="17" applyNumberFormat="1" applyFill="1" applyBorder="1" applyAlignment="1">
      <alignment/>
    </xf>
    <xf numFmtId="6" fontId="0" fillId="0" borderId="7" xfId="17" applyNumberFormat="1" applyFont="1" applyBorder="1" applyAlignment="1">
      <alignment/>
    </xf>
    <xf numFmtId="41" fontId="0" fillId="0" borderId="7" xfId="17" applyNumberFormat="1" applyFont="1" applyBorder="1" applyAlignment="1">
      <alignment/>
    </xf>
    <xf numFmtId="0" fontId="0" fillId="0" borderId="7" xfId="0" applyBorder="1" applyAlignment="1">
      <alignment/>
    </xf>
    <xf numFmtId="164" fontId="0" fillId="0" borderId="7" xfId="15" applyNumberFormat="1" applyBorder="1" applyAlignment="1">
      <alignment/>
    </xf>
    <xf numFmtId="41" fontId="0" fillId="0" borderId="7" xfId="17" applyNumberFormat="1" applyBorder="1" applyAlignment="1">
      <alignment/>
    </xf>
    <xf numFmtId="164" fontId="0" fillId="0" borderId="5" xfId="17" applyNumberFormat="1" applyFill="1" applyBorder="1" applyAlignment="1">
      <alignment/>
    </xf>
    <xf numFmtId="6" fontId="0" fillId="0" borderId="8" xfId="17" applyNumberFormat="1" applyBorder="1" applyAlignment="1">
      <alignment/>
    </xf>
    <xf numFmtId="41" fontId="0" fillId="0" borderId="5" xfId="17" applyNumberFormat="1" applyFont="1" applyBorder="1" applyAlignment="1">
      <alignment/>
    </xf>
    <xf numFmtId="2" fontId="0" fillId="0" borderId="8" xfId="0" applyNumberFormat="1" applyBorder="1" applyAlignment="1">
      <alignment/>
    </xf>
    <xf numFmtId="41" fontId="0" fillId="0" borderId="8" xfId="17" applyNumberFormat="1" applyBorder="1" applyAlignment="1">
      <alignment/>
    </xf>
    <xf numFmtId="6" fontId="0" fillId="0" borderId="1" xfId="17" applyNumberFormat="1" applyBorder="1" applyAlignment="1">
      <alignment/>
    </xf>
    <xf numFmtId="6" fontId="0" fillId="0" borderId="1" xfId="17" applyNumberFormat="1" applyFont="1" applyBorder="1" applyAlignment="1">
      <alignment/>
    </xf>
    <xf numFmtId="6" fontId="0" fillId="0" borderId="14" xfId="17" applyNumberFormat="1" applyBorder="1" applyAlignment="1">
      <alignment/>
    </xf>
    <xf numFmtId="3" fontId="0" fillId="0" borderId="5" xfId="0" applyNumberFormat="1" applyBorder="1" applyAlignment="1">
      <alignment/>
    </xf>
    <xf numFmtId="44" fontId="0" fillId="0" borderId="5" xfId="17" applyBorder="1" applyAlignment="1">
      <alignment/>
    </xf>
    <xf numFmtId="0" fontId="0" fillId="0" borderId="11" xfId="0" applyBorder="1" applyAlignment="1">
      <alignment/>
    </xf>
    <xf numFmtId="6" fontId="0" fillId="0" borderId="15" xfId="17" applyNumberFormat="1" applyBorder="1" applyAlignment="1">
      <alignment/>
    </xf>
    <xf numFmtId="42" fontId="0" fillId="0" borderId="11" xfId="18" applyBorder="1" applyAlignment="1">
      <alignment/>
    </xf>
    <xf numFmtId="41" fontId="0" fillId="0" borderId="15" xfId="0" applyNumberFormat="1" applyBorder="1" applyAlignment="1">
      <alignment/>
    </xf>
    <xf numFmtId="41" fontId="0" fillId="0" borderId="15" xfId="17" applyNumberFormat="1" applyBorder="1" applyAlignment="1">
      <alignment/>
    </xf>
    <xf numFmtId="164" fontId="0" fillId="0" borderId="11" xfId="17" applyNumberFormat="1" applyFill="1" applyBorder="1" applyAlignment="1">
      <alignment/>
    </xf>
    <xf numFmtId="3" fontId="0" fillId="0" borderId="11" xfId="0" applyNumberFormat="1" applyBorder="1" applyAlignment="1">
      <alignment/>
    </xf>
    <xf numFmtId="44" fontId="0" fillId="0" borderId="11" xfId="17" applyBorder="1" applyAlignment="1">
      <alignment/>
    </xf>
    <xf numFmtId="44" fontId="0" fillId="0" borderId="11" xfId="17" applyFont="1" applyBorder="1" applyAlignment="1">
      <alignment/>
    </xf>
    <xf numFmtId="2" fontId="0" fillId="2" borderId="4" xfId="0" applyNumberFormat="1" applyFill="1" applyBorder="1" applyAlignment="1">
      <alignment/>
    </xf>
    <xf numFmtId="164" fontId="0" fillId="2" borderId="4" xfId="15" applyNumberFormat="1" applyFill="1" applyBorder="1" applyAlignment="1">
      <alignment/>
    </xf>
    <xf numFmtId="0" fontId="0" fillId="2" borderId="0" xfId="0" applyFill="1" applyBorder="1" applyAlignment="1">
      <alignment/>
    </xf>
    <xf numFmtId="164" fontId="0" fillId="0" borderId="4" xfId="17" applyNumberFormat="1" applyBorder="1" applyAlignment="1">
      <alignment/>
    </xf>
    <xf numFmtId="41" fontId="0" fillId="2" borderId="2" xfId="17" applyNumberFormat="1" applyFont="1" applyFill="1" applyBorder="1" applyAlignment="1">
      <alignment/>
    </xf>
    <xf numFmtId="41" fontId="0" fillId="0" borderId="12" xfId="17" applyNumberFormat="1" applyFont="1" applyFill="1" applyBorder="1" applyAlignment="1">
      <alignment/>
    </xf>
    <xf numFmtId="41" fontId="0" fillId="0" borderId="2" xfId="17" applyNumberFormat="1" applyFont="1" applyFill="1" applyBorder="1" applyAlignment="1">
      <alignment/>
    </xf>
    <xf numFmtId="6" fontId="0" fillId="2" borderId="4" xfId="17" applyNumberFormat="1" applyFont="1" applyFill="1" applyBorder="1" applyAlignment="1">
      <alignment/>
    </xf>
    <xf numFmtId="6" fontId="0" fillId="0" borderId="4" xfId="17" applyNumberFormat="1" applyFont="1" applyFill="1" applyBorder="1" applyAlignment="1">
      <alignment/>
    </xf>
    <xf numFmtId="6" fontId="0" fillId="2" borderId="4" xfId="17" applyNumberFormat="1" applyFont="1" applyFill="1" applyBorder="1" applyAlignment="1">
      <alignment/>
    </xf>
    <xf numFmtId="6" fontId="0" fillId="0" borderId="11" xfId="17" applyNumberFormat="1" applyFont="1" applyBorder="1" applyAlignment="1">
      <alignment/>
    </xf>
    <xf numFmtId="6" fontId="0" fillId="0" borderId="4" xfId="17" applyNumberFormat="1" applyFont="1" applyBorder="1" applyAlignment="1">
      <alignment/>
    </xf>
    <xf numFmtId="165" fontId="0" fillId="0" borderId="4" xfId="17" applyNumberFormat="1" applyFont="1" applyBorder="1" applyAlignment="1">
      <alignment/>
    </xf>
    <xf numFmtId="165" fontId="0" fillId="2" borderId="4" xfId="17" applyNumberFormat="1" applyFont="1" applyFill="1" applyBorder="1" applyAlignment="1">
      <alignment/>
    </xf>
    <xf numFmtId="164" fontId="0" fillId="0" borderId="11" xfId="15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11" xfId="0" applyNumberFormat="1" applyBorder="1" applyAlignment="1">
      <alignment/>
    </xf>
    <xf numFmtId="164" fontId="0" fillId="0" borderId="11" xfId="17" applyNumberFormat="1" applyFont="1" applyBorder="1" applyAlignment="1">
      <alignment/>
    </xf>
    <xf numFmtId="41" fontId="0" fillId="0" borderId="11" xfId="17" applyNumberFormat="1" applyFont="1" applyFill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169" fontId="0" fillId="0" borderId="0" xfId="0" applyNumberFormat="1" applyBorder="1" applyAlignment="1">
      <alignment/>
    </xf>
    <xf numFmtId="164" fontId="0" fillId="0" borderId="4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oria/TCave\backup\Waste\PRO99-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E PROJ"/>
      <sheetName val="DETAIL"/>
      <sheetName val="BUDGET SUM"/>
    </sheetNames>
    <sheetDataSet>
      <sheetData sheetId="1">
        <row r="174">
          <cell r="J174">
            <v>1280955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22">
      <selection activeCell="A31" sqref="A31"/>
    </sheetView>
  </sheetViews>
  <sheetFormatPr defaultColWidth="9.140625" defaultRowHeight="12.75"/>
  <cols>
    <col min="2" max="2" width="32.57421875" style="0" customWidth="1"/>
    <col min="3" max="3" width="13.7109375" style="0" hidden="1" customWidth="1"/>
    <col min="4" max="4" width="0.13671875" style="0" customWidth="1"/>
    <col min="5" max="5" width="8.140625" style="2" hidden="1" customWidth="1"/>
    <col min="6" max="6" width="0.42578125" style="0" customWidth="1"/>
    <col min="7" max="7" width="15.7109375" style="73" customWidth="1"/>
    <col min="8" max="8" width="15.7109375" style="0" customWidth="1"/>
    <col min="9" max="9" width="0.42578125" style="0" customWidth="1"/>
    <col min="10" max="12" width="15.7109375" style="0" customWidth="1"/>
  </cols>
  <sheetData>
    <row r="1" spans="1:12" ht="19.5" customHeight="1">
      <c r="A1" s="69" t="s">
        <v>123</v>
      </c>
      <c r="G1" s="113"/>
      <c r="J1" s="84"/>
      <c r="K1" s="84"/>
      <c r="L1" s="134"/>
    </row>
    <row r="2" spans="2:7" ht="16.5" customHeight="1">
      <c r="B2" s="70" t="s">
        <v>130</v>
      </c>
      <c r="D2" s="46"/>
      <c r="G2" s="113"/>
    </row>
    <row r="3" spans="3:12" ht="12.75">
      <c r="C3" s="3" t="s">
        <v>0</v>
      </c>
      <c r="D3" s="3" t="s">
        <v>0</v>
      </c>
      <c r="E3" s="4" t="s">
        <v>0</v>
      </c>
      <c r="F3" s="4" t="s">
        <v>0</v>
      </c>
      <c r="G3" s="43" t="s">
        <v>0</v>
      </c>
      <c r="H3" s="110" t="s">
        <v>0</v>
      </c>
      <c r="I3" s="43"/>
      <c r="J3" s="43" t="s">
        <v>135</v>
      </c>
      <c r="K3" s="43" t="s">
        <v>126</v>
      </c>
      <c r="L3" s="43" t="s">
        <v>30</v>
      </c>
    </row>
    <row r="4" spans="3:12" ht="12.75">
      <c r="C4" s="5" t="s">
        <v>1</v>
      </c>
      <c r="D4" s="5" t="s">
        <v>2</v>
      </c>
      <c r="E4" s="6" t="s">
        <v>3</v>
      </c>
      <c r="F4" s="6" t="s">
        <v>4</v>
      </c>
      <c r="G4" s="72" t="s">
        <v>5</v>
      </c>
      <c r="H4" s="102" t="s">
        <v>6</v>
      </c>
      <c r="I4" s="5"/>
      <c r="J4" s="5" t="s">
        <v>129</v>
      </c>
      <c r="K4" s="5" t="s">
        <v>129</v>
      </c>
      <c r="L4" s="5" t="s">
        <v>131</v>
      </c>
    </row>
    <row r="5" spans="1:12" ht="12.75">
      <c r="A5" s="2" t="s">
        <v>7</v>
      </c>
      <c r="C5" s="7"/>
      <c r="D5" s="7"/>
      <c r="E5" s="8"/>
      <c r="F5" s="22"/>
      <c r="G5" s="81"/>
      <c r="H5" s="103"/>
      <c r="I5" s="7"/>
      <c r="J5" s="7"/>
      <c r="K5" s="7"/>
      <c r="L5" s="7"/>
    </row>
    <row r="6" spans="2:12" ht="12.75">
      <c r="B6" t="s">
        <v>8</v>
      </c>
      <c r="C6" s="9">
        <v>1083737</v>
      </c>
      <c r="D6" s="9" t="e">
        <f>(C27+#REF!)*0.06</f>
        <v>#REF!</v>
      </c>
      <c r="E6" s="10">
        <v>1111560</v>
      </c>
      <c r="F6" s="11">
        <v>583424</v>
      </c>
      <c r="G6" s="79">
        <v>325736</v>
      </c>
      <c r="H6" s="114">
        <v>103118</v>
      </c>
      <c r="I6" s="114"/>
      <c r="J6" s="114">
        <v>196000</v>
      </c>
      <c r="K6" s="114">
        <v>196000</v>
      </c>
      <c r="L6" s="114">
        <v>196000</v>
      </c>
    </row>
    <row r="7" spans="2:12" ht="12.75">
      <c r="B7" t="s">
        <v>9</v>
      </c>
      <c r="C7" s="7">
        <v>9969984</v>
      </c>
      <c r="D7" s="7">
        <f>D29*D30</f>
        <v>11069675.88</v>
      </c>
      <c r="E7" s="8">
        <v>11103952</v>
      </c>
      <c r="F7" s="87">
        <f>11757060</f>
        <v>11757060</v>
      </c>
      <c r="G7" s="86">
        <v>12466504</v>
      </c>
      <c r="H7" s="30">
        <v>13598790</v>
      </c>
      <c r="I7" s="22"/>
      <c r="J7" s="30">
        <f>J29*J30</f>
        <v>13467060</v>
      </c>
      <c r="K7" s="30">
        <f>K29*K30</f>
        <v>13500000</v>
      </c>
      <c r="L7" s="30">
        <f>L29*L30</f>
        <v>13930874.999999998</v>
      </c>
    </row>
    <row r="8" spans="2:12" ht="12.75">
      <c r="B8" t="s">
        <v>10</v>
      </c>
      <c r="C8" s="12">
        <v>42900</v>
      </c>
      <c r="D8" s="12">
        <v>46600</v>
      </c>
      <c r="E8" s="13">
        <v>55432</v>
      </c>
      <c r="F8" s="87">
        <v>100672</v>
      </c>
      <c r="G8" s="118">
        <v>63504</v>
      </c>
      <c r="H8" s="119">
        <v>123294</v>
      </c>
      <c r="I8" s="14"/>
      <c r="J8" s="119">
        <v>100000</v>
      </c>
      <c r="K8" s="119">
        <v>100000</v>
      </c>
      <c r="L8" s="119">
        <v>100000</v>
      </c>
    </row>
    <row r="9" spans="2:12" ht="12.75">
      <c r="B9" t="s">
        <v>11</v>
      </c>
      <c r="C9" s="12">
        <v>11105</v>
      </c>
      <c r="D9" s="15">
        <v>12000</v>
      </c>
      <c r="E9" s="16">
        <v>27575</v>
      </c>
      <c r="F9" s="88">
        <v>17800</v>
      </c>
      <c r="G9" s="115">
        <v>66938</v>
      </c>
      <c r="H9" s="116">
        <v>18817</v>
      </c>
      <c r="I9" s="117"/>
      <c r="J9" s="117">
        <v>20000</v>
      </c>
      <c r="K9" s="117">
        <v>20000</v>
      </c>
      <c r="L9" s="117">
        <v>1020000</v>
      </c>
    </row>
    <row r="10" spans="2:12" ht="12.75">
      <c r="B10" t="s">
        <v>12</v>
      </c>
      <c r="C10" s="17"/>
      <c r="D10" s="17"/>
      <c r="E10"/>
      <c r="F10" s="89"/>
      <c r="I10" s="17"/>
      <c r="J10" s="17"/>
      <c r="K10" s="17"/>
      <c r="L10" s="17"/>
    </row>
    <row r="11" spans="2:12" ht="12.75">
      <c r="B11" t="s">
        <v>13</v>
      </c>
      <c r="C11" s="12"/>
      <c r="D11" s="12">
        <v>1600000</v>
      </c>
      <c r="E11" s="18">
        <v>1380653</v>
      </c>
      <c r="F11" s="18">
        <v>323031.32</v>
      </c>
      <c r="G11" s="124">
        <v>623666</v>
      </c>
      <c r="H11" s="135">
        <v>398762</v>
      </c>
      <c r="I11" s="122"/>
      <c r="J11" s="5"/>
      <c r="K11" s="5"/>
      <c r="L11" s="125">
        <v>1000000</v>
      </c>
    </row>
    <row r="12" spans="2:12" ht="12.75">
      <c r="B12" t="s">
        <v>14</v>
      </c>
      <c r="C12" s="12">
        <v>2129556</v>
      </c>
      <c r="D12" s="12">
        <v>0</v>
      </c>
      <c r="E12" s="13">
        <v>0</v>
      </c>
      <c r="F12" s="13">
        <v>0</v>
      </c>
      <c r="G12" s="120">
        <v>2000000</v>
      </c>
      <c r="H12" s="121">
        <v>1366093</v>
      </c>
      <c r="I12" s="122"/>
      <c r="J12" s="123">
        <v>1550000</v>
      </c>
      <c r="K12" s="123">
        <v>1550000</v>
      </c>
      <c r="L12" s="123">
        <v>1320000</v>
      </c>
    </row>
    <row r="13" spans="1:12" s="19" customFormat="1" ht="12.75">
      <c r="A13" s="133" t="s">
        <v>15</v>
      </c>
      <c r="C13" s="20">
        <f>SUM(C6:C12)</f>
        <v>13237282</v>
      </c>
      <c r="D13" s="20" t="e">
        <f>SUM(D6:D12)</f>
        <v>#REF!</v>
      </c>
      <c r="E13" s="21">
        <f>SUM(E6:E12)</f>
        <v>13679172</v>
      </c>
      <c r="F13" s="21">
        <f>SUM(F6:F12)</f>
        <v>12781987.32</v>
      </c>
      <c r="G13" s="74">
        <f>SUM(G6:G12)</f>
        <v>15546348</v>
      </c>
      <c r="H13" s="104">
        <f>SUM(H6:H12)</f>
        <v>15608874</v>
      </c>
      <c r="I13" s="20"/>
      <c r="J13" s="20">
        <f>SUM(J6:J12)</f>
        <v>15333060</v>
      </c>
      <c r="K13" s="20">
        <f>SUM(K6:K12)</f>
        <v>15366000</v>
      </c>
      <c r="L13" s="20">
        <f>SUM(L6:L12)</f>
        <v>17566875</v>
      </c>
    </row>
    <row r="14" spans="1:12" ht="12.75">
      <c r="A14" s="2" t="s">
        <v>16</v>
      </c>
      <c r="C14" s="22"/>
      <c r="D14" s="68"/>
      <c r="E14" s="23"/>
      <c r="F14" s="23"/>
      <c r="G14" s="75"/>
      <c r="H14" s="38"/>
      <c r="I14" s="22"/>
      <c r="J14" s="22"/>
      <c r="K14" s="22"/>
      <c r="L14" s="22"/>
    </row>
    <row r="15" spans="2:12" ht="12.75">
      <c r="B15" t="s">
        <v>17</v>
      </c>
      <c r="C15" s="7"/>
      <c r="D15" s="47">
        <v>1323709</v>
      </c>
      <c r="E15" s="47">
        <v>776108</v>
      </c>
      <c r="F15" s="90">
        <v>599276</v>
      </c>
      <c r="G15" s="112">
        <f>detail!M62</f>
        <v>987523.03</v>
      </c>
      <c r="H15" s="125">
        <f>detail!N62</f>
        <v>1087557.5899999999</v>
      </c>
      <c r="I15" s="126">
        <f>detail!O62</f>
        <v>664100</v>
      </c>
      <c r="J15" s="132">
        <f>detail!$O$62</f>
        <v>664100</v>
      </c>
      <c r="K15" s="132">
        <f>detail!P62</f>
        <v>490100</v>
      </c>
      <c r="L15" s="127">
        <f>detail!Q62</f>
        <v>492100</v>
      </c>
    </row>
    <row r="16" spans="3:12" ht="12.75">
      <c r="C16" s="24"/>
      <c r="D16" s="25"/>
      <c r="E16" s="26"/>
      <c r="F16" s="16"/>
      <c r="G16" s="76"/>
      <c r="H16" s="105"/>
      <c r="I16" s="25"/>
      <c r="J16" s="25"/>
      <c r="K16" s="25"/>
      <c r="L16" s="25"/>
    </row>
    <row r="17" spans="2:12" ht="12.75">
      <c r="B17" s="27" t="s">
        <v>18</v>
      </c>
      <c r="C17" s="7"/>
      <c r="D17" s="47">
        <v>10747428</v>
      </c>
      <c r="E17" s="7">
        <v>11055105</v>
      </c>
      <c r="F17" s="91">
        <v>11108143</v>
      </c>
      <c r="G17" s="80">
        <f>detail!M69</f>
        <v>13079637.370000001</v>
      </c>
      <c r="H17" s="35">
        <f>detail!N69</f>
        <v>11526232.35</v>
      </c>
      <c r="I17" s="32">
        <f>detail!O69</f>
        <v>12759676.9</v>
      </c>
      <c r="J17" s="132">
        <f>detail!$O$69</f>
        <v>12759676.9</v>
      </c>
      <c r="K17" s="132">
        <f>detail!P69</f>
        <v>13130106</v>
      </c>
      <c r="L17" s="127">
        <f>detail!Q69</f>
        <v>13240000</v>
      </c>
    </row>
    <row r="18" spans="3:12" ht="12.75">
      <c r="C18" s="24"/>
      <c r="D18" s="24"/>
      <c r="F18" s="91"/>
      <c r="G18" s="77"/>
      <c r="H18" s="106"/>
      <c r="I18" s="24"/>
      <c r="J18" s="24"/>
      <c r="K18" s="24"/>
      <c r="L18" s="24"/>
    </row>
    <row r="19" spans="2:12" ht="12.75">
      <c r="B19" t="s">
        <v>19</v>
      </c>
      <c r="C19" s="24">
        <f>11702046-11219724-50080</f>
        <v>432242</v>
      </c>
      <c r="D19" s="24">
        <v>142799</v>
      </c>
      <c r="E19" s="16">
        <v>151155</v>
      </c>
      <c r="F19" s="88">
        <v>165504</v>
      </c>
      <c r="G19" s="79">
        <f>detail!M56</f>
        <v>232419.13</v>
      </c>
      <c r="H19" s="128">
        <f>detail!N56</f>
        <v>349236.14</v>
      </c>
      <c r="I19" s="114">
        <f>detail!O56</f>
        <v>333200</v>
      </c>
      <c r="J19" s="114">
        <f>detail!$O$56</f>
        <v>333200</v>
      </c>
      <c r="K19" s="114">
        <f>detail!P56</f>
        <v>315294.53</v>
      </c>
      <c r="L19" s="114">
        <f>detail!Q56</f>
        <v>333700</v>
      </c>
    </row>
    <row r="20" spans="3:12" ht="12.75">
      <c r="C20" s="28"/>
      <c r="D20" s="28"/>
      <c r="E20" s="29"/>
      <c r="F20" s="29"/>
      <c r="G20" s="78"/>
      <c r="H20" s="36"/>
      <c r="I20" s="28"/>
      <c r="J20" s="28"/>
      <c r="K20" s="28"/>
      <c r="L20" s="28"/>
    </row>
    <row r="21" spans="1:12" s="19" customFormat="1" ht="12.75">
      <c r="A21" s="133" t="s">
        <v>20</v>
      </c>
      <c r="C21" s="30">
        <f>SUM(C16:C19)</f>
        <v>432242</v>
      </c>
      <c r="D21" s="67">
        <f>SUM(D15:D19)</f>
        <v>12213936</v>
      </c>
      <c r="E21" s="67">
        <f>SUM(E15:E19)</f>
        <v>11982368</v>
      </c>
      <c r="F21" s="92">
        <f>SUM(F15:F19)</f>
        <v>11872923</v>
      </c>
      <c r="G21" s="79">
        <f>SUM(G15:G19)</f>
        <v>14299579.530000001</v>
      </c>
      <c r="H21" s="107">
        <f>SUM(H15:H19)</f>
        <v>12963026.08</v>
      </c>
      <c r="I21" s="30"/>
      <c r="J21" s="67">
        <f>SUM(J15:J19)</f>
        <v>13756976.9</v>
      </c>
      <c r="K21" s="67">
        <f>SUM(K15:K19)</f>
        <v>13935500.53</v>
      </c>
      <c r="L21" s="67">
        <f>SUM(L15:L19)</f>
        <v>14065800</v>
      </c>
    </row>
    <row r="22" spans="1:12" s="19" customFormat="1" ht="12.75">
      <c r="A22" s="133" t="s">
        <v>21</v>
      </c>
      <c r="C22" s="30">
        <f aca="true" t="shared" si="0" ref="C22:H22">C13-C21</f>
        <v>12805040</v>
      </c>
      <c r="D22" s="30" t="e">
        <f t="shared" si="0"/>
        <v>#REF!</v>
      </c>
      <c r="E22" s="31">
        <f t="shared" si="0"/>
        <v>1696804</v>
      </c>
      <c r="F22" s="93">
        <f t="shared" si="0"/>
        <v>909064.3200000003</v>
      </c>
      <c r="G22" s="86">
        <f t="shared" si="0"/>
        <v>1246768.4699999988</v>
      </c>
      <c r="H22" s="31">
        <f t="shared" si="0"/>
        <v>2645847.92</v>
      </c>
      <c r="I22" s="31"/>
      <c r="J22" s="31">
        <f>J13-J21</f>
        <v>1576083.0999999996</v>
      </c>
      <c r="K22" s="31">
        <f>K13-K21</f>
        <v>1430499.4700000007</v>
      </c>
      <c r="L22" s="31">
        <f>L13-L21</f>
        <v>3501075</v>
      </c>
    </row>
    <row r="23" spans="1:12" s="19" customFormat="1" ht="12.75">
      <c r="A23" s="133" t="s">
        <v>22</v>
      </c>
      <c r="C23" s="32">
        <f>'[1]DETAIL'!$J$174</f>
        <v>1280955</v>
      </c>
      <c r="D23" s="32">
        <v>1279379</v>
      </c>
      <c r="E23" s="32">
        <v>1276162</v>
      </c>
      <c r="F23" s="94">
        <v>1286360</v>
      </c>
      <c r="G23" s="80">
        <f>detail!M93</f>
        <v>1275409.5</v>
      </c>
      <c r="H23" s="35">
        <f>detail!N93</f>
        <v>1285659.5</v>
      </c>
      <c r="I23" s="32">
        <f>detail!O113</f>
        <v>1284175</v>
      </c>
      <c r="J23" s="32">
        <f>detail!$O$93</f>
        <v>1284175</v>
      </c>
      <c r="K23" s="32">
        <f>detail!P93</f>
        <v>1209134</v>
      </c>
      <c r="L23" s="32">
        <f>detail!Q93</f>
        <v>1083430</v>
      </c>
    </row>
    <row r="24" spans="1:12" s="19" customFormat="1" ht="12.75">
      <c r="A24" s="133" t="s">
        <v>23</v>
      </c>
      <c r="C24" s="33">
        <f aca="true" t="shared" si="1" ref="C24:H24">C22/C23</f>
        <v>9.996479189354817</v>
      </c>
      <c r="D24" s="33" t="e">
        <f t="shared" si="1"/>
        <v>#REF!</v>
      </c>
      <c r="E24" s="34">
        <f t="shared" si="1"/>
        <v>1.3296148921531905</v>
      </c>
      <c r="F24" s="95">
        <f t="shared" si="1"/>
        <v>0.7066951086787526</v>
      </c>
      <c r="G24" s="111">
        <f t="shared" si="1"/>
        <v>0.9775436595070045</v>
      </c>
      <c r="H24" s="34">
        <f t="shared" si="1"/>
        <v>2.0579694079186597</v>
      </c>
      <c r="I24" s="34"/>
      <c r="J24" s="34">
        <f>J22/J23</f>
        <v>1.2273117760429846</v>
      </c>
      <c r="K24" s="34">
        <f>K22/K23</f>
        <v>1.1830776985842766</v>
      </c>
      <c r="L24" s="34">
        <f>L22/L23</f>
        <v>3.2314731916229014</v>
      </c>
    </row>
    <row r="25" spans="1:12" s="19" customFormat="1" ht="12.75">
      <c r="A25" s="133" t="s">
        <v>24</v>
      </c>
      <c r="C25" s="32">
        <v>50080</v>
      </c>
      <c r="D25" s="32">
        <v>73617</v>
      </c>
      <c r="E25" s="35">
        <v>68979</v>
      </c>
      <c r="F25" s="96">
        <f>77431.18+8225</f>
        <v>85656.18</v>
      </c>
      <c r="G25" s="130">
        <f>detail!M72</f>
        <v>86924.13</v>
      </c>
      <c r="H25" s="130">
        <f>detail!N72</f>
        <v>68159.2</v>
      </c>
      <c r="I25" s="131">
        <f>detail!O72</f>
        <v>94500</v>
      </c>
      <c r="J25" s="130">
        <f>detail!P72</f>
        <v>94500</v>
      </c>
      <c r="K25" s="130">
        <f>detail!Q72</f>
        <v>94500</v>
      </c>
      <c r="L25" s="129">
        <f>detail!$R$72</f>
        <v>94500</v>
      </c>
    </row>
    <row r="26" spans="1:12" s="1" customFormat="1" ht="12.75">
      <c r="A26" s="1" t="s">
        <v>25</v>
      </c>
      <c r="C26" s="28">
        <f aca="true" t="shared" si="2" ref="C26:L26">C22-C23-C25</f>
        <v>11474005</v>
      </c>
      <c r="D26" s="28" t="e">
        <f t="shared" si="2"/>
        <v>#REF!</v>
      </c>
      <c r="E26" s="36">
        <f t="shared" si="2"/>
        <v>351663</v>
      </c>
      <c r="F26" s="97">
        <f t="shared" si="2"/>
        <v>-462951.8599999997</v>
      </c>
      <c r="G26" s="78">
        <f t="shared" si="2"/>
        <v>-115565.1600000012</v>
      </c>
      <c r="H26" s="36">
        <f t="shared" si="2"/>
        <v>1292029.22</v>
      </c>
      <c r="I26" s="36"/>
      <c r="J26" s="36">
        <f t="shared" si="2"/>
        <v>197408.09999999963</v>
      </c>
      <c r="K26" s="36">
        <f t="shared" si="2"/>
        <v>126865.47000000067</v>
      </c>
      <c r="L26" s="36">
        <f t="shared" si="2"/>
        <v>2323145</v>
      </c>
    </row>
    <row r="27" spans="1:12" s="1" customFormat="1" ht="12.75">
      <c r="A27" s="1" t="s">
        <v>26</v>
      </c>
      <c r="C27" s="22">
        <f>5216484-2798859</f>
        <v>2417625</v>
      </c>
      <c r="D27" s="28">
        <f>7379981-2867642</f>
        <v>4512339</v>
      </c>
      <c r="E27" s="36">
        <f>7702252-2743435</f>
        <v>4958817</v>
      </c>
      <c r="F27" s="98">
        <f>6958296-2971409</f>
        <v>3986887</v>
      </c>
      <c r="G27" s="78">
        <v>2483841</v>
      </c>
      <c r="H27" s="36">
        <f>G27+H26-H12</f>
        <v>2409777.2199999997</v>
      </c>
      <c r="I27" s="36"/>
      <c r="J27" s="36">
        <f>H27+J26-J12</f>
        <v>1057185.3199999994</v>
      </c>
      <c r="K27" s="36">
        <f>H27+K26-K12</f>
        <v>986642.6900000004</v>
      </c>
      <c r="L27" s="36">
        <f>I27+L26-L12</f>
        <v>1003145</v>
      </c>
    </row>
    <row r="28" spans="3:12" ht="15" customHeight="1">
      <c r="C28" s="37"/>
      <c r="D28" s="30"/>
      <c r="E28" s="39"/>
      <c r="F28" s="99"/>
      <c r="G28" s="75"/>
      <c r="H28" s="38"/>
      <c r="I28" s="38"/>
      <c r="J28" s="38"/>
      <c r="K28" s="38"/>
      <c r="L28" s="38"/>
    </row>
    <row r="29" spans="1:12" s="19" customFormat="1" ht="15" customHeight="1">
      <c r="A29" s="133" t="s">
        <v>27</v>
      </c>
      <c r="C29" s="5">
        <v>180505</v>
      </c>
      <c r="D29" s="37">
        <v>190266</v>
      </c>
      <c r="E29" s="40">
        <v>207338</v>
      </c>
      <c r="F29" s="100">
        <v>223841</v>
      </c>
      <c r="G29" s="82">
        <v>240142</v>
      </c>
      <c r="H29" s="108">
        <v>248058</v>
      </c>
      <c r="I29" s="37"/>
      <c r="J29" s="37">
        <f>detail!$R$66</f>
        <v>249390</v>
      </c>
      <c r="K29" s="37">
        <v>250000</v>
      </c>
      <c r="L29" s="37">
        <f>250000*1.015</f>
        <v>253749.99999999997</v>
      </c>
    </row>
    <row r="30" spans="1:12" s="19" customFormat="1" ht="15" customHeight="1">
      <c r="A30" s="133" t="s">
        <v>28</v>
      </c>
      <c r="C30" s="41">
        <v>60.27</v>
      </c>
      <c r="D30" s="41">
        <f>(60.27*(8/12))+(54*(4/12))</f>
        <v>58.18</v>
      </c>
      <c r="E30" s="42">
        <v>54</v>
      </c>
      <c r="F30" s="101">
        <v>54</v>
      </c>
      <c r="G30" s="83">
        <v>54</v>
      </c>
      <c r="H30" s="109">
        <v>54</v>
      </c>
      <c r="I30" s="41"/>
      <c r="J30" s="41">
        <v>54</v>
      </c>
      <c r="K30" s="41">
        <v>54</v>
      </c>
      <c r="L30" s="41">
        <v>54.9</v>
      </c>
    </row>
    <row r="31" spans="5:7" ht="15" customHeight="1">
      <c r="E31"/>
      <c r="G31"/>
    </row>
    <row r="32" spans="5:7" ht="15" customHeight="1">
      <c r="E32"/>
      <c r="G32"/>
    </row>
    <row r="33" spans="5:7" ht="15" customHeight="1">
      <c r="E33"/>
      <c r="G33"/>
    </row>
    <row r="34" spans="5:7" ht="15" customHeight="1">
      <c r="E34"/>
      <c r="G34"/>
    </row>
    <row r="35" spans="5:7" ht="15" customHeight="1">
      <c r="E35"/>
      <c r="G35"/>
    </row>
    <row r="36" spans="5:7" ht="12.75">
      <c r="E36"/>
      <c r="G36"/>
    </row>
    <row r="37" spans="5:7" ht="12.75">
      <c r="E37"/>
      <c r="G37"/>
    </row>
    <row r="38" spans="5:7" ht="12.75">
      <c r="E38"/>
      <c r="G38"/>
    </row>
    <row r="39" spans="5:7" ht="12.75">
      <c r="E39"/>
      <c r="G39"/>
    </row>
    <row r="40" spans="5:7" ht="12.75">
      <c r="E40"/>
      <c r="G40"/>
    </row>
    <row r="41" spans="5:7" ht="12.75">
      <c r="E41"/>
      <c r="G41"/>
    </row>
    <row r="42" spans="5:7" ht="12.75">
      <c r="E42"/>
      <c r="G42"/>
    </row>
    <row r="43" spans="5:7" ht="12.75">
      <c r="E43"/>
      <c r="G43"/>
    </row>
    <row r="44" spans="5:7" ht="12.75">
      <c r="E44"/>
      <c r="G44"/>
    </row>
    <row r="45" spans="5:7" ht="12.75">
      <c r="E45"/>
      <c r="G45"/>
    </row>
    <row r="46" spans="5:7" ht="12.75">
      <c r="E46"/>
      <c r="G46"/>
    </row>
    <row r="47" spans="5:7" ht="12.75">
      <c r="E47"/>
      <c r="G47"/>
    </row>
    <row r="48" spans="5:7" ht="12.75">
      <c r="E48"/>
      <c r="G48"/>
    </row>
    <row r="49" spans="5:7" ht="12.75">
      <c r="E49"/>
      <c r="G49"/>
    </row>
    <row r="50" spans="5:7" ht="12.75">
      <c r="E50"/>
      <c r="G50"/>
    </row>
    <row r="51" spans="5:7" ht="14.25" customHeight="1">
      <c r="E51"/>
      <c r="G51"/>
    </row>
    <row r="52" spans="5:7" ht="14.25" customHeight="1">
      <c r="E52"/>
      <c r="G52"/>
    </row>
    <row r="53" spans="5:7" ht="14.25" customHeight="1">
      <c r="E53"/>
      <c r="G53"/>
    </row>
    <row r="54" spans="5:7" ht="14.25" customHeight="1">
      <c r="E54"/>
      <c r="G54"/>
    </row>
    <row r="55" spans="5:7" ht="14.25" customHeight="1">
      <c r="E55"/>
      <c r="G55"/>
    </row>
    <row r="56" spans="5:7" ht="14.25" customHeight="1">
      <c r="E56"/>
      <c r="G56"/>
    </row>
    <row r="57" spans="5:7" ht="14.25" customHeight="1">
      <c r="E57"/>
      <c r="G57"/>
    </row>
    <row r="58" spans="5:7" ht="14.25" customHeight="1">
      <c r="E58"/>
      <c r="G58"/>
    </row>
    <row r="59" spans="5:7" ht="14.25" customHeight="1">
      <c r="E59"/>
      <c r="G59"/>
    </row>
    <row r="60" spans="5:7" ht="12.75">
      <c r="E60"/>
      <c r="G60"/>
    </row>
    <row r="61" spans="5:7" ht="12.75">
      <c r="E61"/>
      <c r="G61"/>
    </row>
    <row r="62" spans="5:7" ht="12.75">
      <c r="E62"/>
      <c r="G62"/>
    </row>
    <row r="63" spans="5:7" ht="12.75">
      <c r="E63"/>
      <c r="G63"/>
    </row>
    <row r="64" spans="5:7" ht="12.75">
      <c r="E64"/>
      <c r="G64"/>
    </row>
    <row r="65" spans="5:7" ht="12.75">
      <c r="E65"/>
      <c r="G65"/>
    </row>
    <row r="66" spans="5:7" ht="12.75">
      <c r="E66"/>
      <c r="G66"/>
    </row>
    <row r="67" spans="5:7" ht="12.75">
      <c r="E67"/>
      <c r="G67"/>
    </row>
    <row r="68" spans="5:7" ht="12.75">
      <c r="E68"/>
      <c r="G68"/>
    </row>
    <row r="69" spans="5:7" ht="12.75">
      <c r="E69"/>
      <c r="G69"/>
    </row>
    <row r="70" spans="5:7" ht="12.75">
      <c r="E70"/>
      <c r="G70"/>
    </row>
    <row r="71" spans="5:7" ht="12.75">
      <c r="E71"/>
      <c r="G71"/>
    </row>
    <row r="72" spans="5:7" ht="12.75">
      <c r="E72"/>
      <c r="G72"/>
    </row>
    <row r="73" spans="5:7" ht="12.75">
      <c r="E73"/>
      <c r="G73"/>
    </row>
    <row r="74" spans="5:7" ht="12.75">
      <c r="E74"/>
      <c r="G74"/>
    </row>
    <row r="75" spans="5:7" ht="12.75">
      <c r="E75"/>
      <c r="G75"/>
    </row>
    <row r="76" spans="5:7" ht="12.75">
      <c r="E76"/>
      <c r="G76"/>
    </row>
    <row r="77" spans="5:7" ht="12.75">
      <c r="E77"/>
      <c r="G77"/>
    </row>
  </sheetData>
  <printOptions/>
  <pageMargins left="0.75" right="0.75" top="1" bottom="1" header="0.5" footer="0.5"/>
  <pageSetup horizontalDpi="300" verticalDpi="300" orientation="landscape" r:id="rId3"/>
  <rowBreaks count="1" manualBreakCount="1">
    <brk id="3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8"/>
  <sheetViews>
    <sheetView workbookViewId="0" topLeftCell="A1">
      <selection activeCell="A117" sqref="A1:Q117"/>
    </sheetView>
  </sheetViews>
  <sheetFormatPr defaultColWidth="11.00390625" defaultRowHeight="12.75"/>
  <cols>
    <col min="1" max="1" width="8.8515625" style="49" customWidth="1"/>
    <col min="2" max="2" width="1.8515625" style="0" customWidth="1"/>
    <col min="3" max="3" width="34.140625" style="0" customWidth="1"/>
    <col min="4" max="4" width="0.42578125" style="44" customWidth="1"/>
    <col min="5" max="5" width="12.7109375" style="44" hidden="1" customWidth="1"/>
    <col min="6" max="6" width="0.13671875" style="44" hidden="1" customWidth="1"/>
    <col min="7" max="8" width="12.7109375" style="44" hidden="1" customWidth="1"/>
    <col min="9" max="9" width="12.57421875" style="44" hidden="1" customWidth="1"/>
    <col min="10" max="12" width="11.28125" style="44" hidden="1" customWidth="1"/>
    <col min="13" max="14" width="11.28125" style="44" customWidth="1"/>
    <col min="15" max="17" width="12.00390625" style="44" customWidth="1"/>
    <col min="18" max="18" width="14.7109375" style="0" customWidth="1"/>
    <col min="19" max="19" width="12.57421875" style="0" bestFit="1" customWidth="1"/>
  </cols>
  <sheetData>
    <row r="1" ht="12.75">
      <c r="A1" s="48" t="s">
        <v>136</v>
      </c>
    </row>
    <row r="2" ht="12.75">
      <c r="A2" s="48" t="s">
        <v>31</v>
      </c>
    </row>
    <row r="3" ht="12.75">
      <c r="A3" s="48" t="s">
        <v>134</v>
      </c>
    </row>
    <row r="4" ht="12.75"/>
    <row r="5" ht="12.75">
      <c r="A5" s="48" t="s">
        <v>32</v>
      </c>
    </row>
    <row r="6" ht="12.75">
      <c r="A6" s="48" t="s">
        <v>33</v>
      </c>
    </row>
    <row r="7" ht="12.75">
      <c r="A7" s="48" t="s">
        <v>34</v>
      </c>
    </row>
    <row r="8" ht="12.75"/>
    <row r="9" spans="1:6" ht="12.75">
      <c r="A9" s="48" t="s">
        <v>35</v>
      </c>
      <c r="F9" s="44" t="s">
        <v>29</v>
      </c>
    </row>
    <row r="10" spans="1:17" ht="12.75">
      <c r="A10" s="50" t="s">
        <v>36</v>
      </c>
      <c r="B10" s="51" t="s">
        <v>36</v>
      </c>
      <c r="C10" s="52" t="s">
        <v>37</v>
      </c>
      <c r="D10" s="44" t="s">
        <v>38</v>
      </c>
      <c r="E10" s="44" t="s">
        <v>39</v>
      </c>
      <c r="F10" s="44" t="s">
        <v>40</v>
      </c>
      <c r="G10" s="44" t="s">
        <v>41</v>
      </c>
      <c r="H10" s="44" t="s">
        <v>42</v>
      </c>
      <c r="I10" s="44" t="s">
        <v>43</v>
      </c>
      <c r="J10" s="44" t="s">
        <v>44</v>
      </c>
      <c r="K10" s="44" t="s">
        <v>45</v>
      </c>
      <c r="L10" s="44" t="s">
        <v>46</v>
      </c>
      <c r="M10" s="44" t="s">
        <v>47</v>
      </c>
      <c r="N10" s="44" t="s">
        <v>48</v>
      </c>
      <c r="O10" s="44" t="s">
        <v>125</v>
      </c>
      <c r="P10" s="44" t="s">
        <v>125</v>
      </c>
      <c r="Q10" s="44" t="s">
        <v>132</v>
      </c>
    </row>
    <row r="11" spans="1:17" ht="12.75">
      <c r="A11" s="48" t="s">
        <v>49</v>
      </c>
      <c r="C11" s="53" t="s">
        <v>50</v>
      </c>
      <c r="D11" s="54" t="s">
        <v>51</v>
      </c>
      <c r="E11" s="44" t="s">
        <v>51</v>
      </c>
      <c r="F11" s="54" t="s">
        <v>51</v>
      </c>
      <c r="G11" s="44" t="s">
        <v>51</v>
      </c>
      <c r="H11" s="44" t="s">
        <v>52</v>
      </c>
      <c r="I11" s="44" t="s">
        <v>52</v>
      </c>
      <c r="J11" s="44" t="s">
        <v>53</v>
      </c>
      <c r="K11" s="44" t="s">
        <v>52</v>
      </c>
      <c r="L11" s="44" t="s">
        <v>52</v>
      </c>
      <c r="M11" s="44" t="s">
        <v>52</v>
      </c>
      <c r="N11" s="44" t="s">
        <v>51</v>
      </c>
      <c r="O11" s="44" t="s">
        <v>53</v>
      </c>
      <c r="P11" s="44" t="s">
        <v>133</v>
      </c>
      <c r="Q11" s="44" t="s">
        <v>124</v>
      </c>
    </row>
    <row r="12" spans="1:17" ht="12.75">
      <c r="A12" s="50" t="s">
        <v>36</v>
      </c>
      <c r="C12" s="51" t="s">
        <v>36</v>
      </c>
      <c r="D12" s="55" t="s">
        <v>36</v>
      </c>
      <c r="E12" s="55" t="s">
        <v>36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ht="12.75">
      <c r="A13" s="48" t="s">
        <v>54</v>
      </c>
      <c r="C13" s="52" t="s">
        <v>55</v>
      </c>
      <c r="D13" s="56">
        <v>63051.48</v>
      </c>
      <c r="E13" s="56">
        <v>0</v>
      </c>
      <c r="F13" s="56">
        <v>0</v>
      </c>
      <c r="G13" s="56">
        <v>0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12.75">
      <c r="A14" s="50" t="s">
        <v>36</v>
      </c>
      <c r="B14" s="51" t="s">
        <v>36</v>
      </c>
      <c r="C14" s="51" t="s">
        <v>36</v>
      </c>
      <c r="D14" s="55" t="s">
        <v>36</v>
      </c>
      <c r="E14" s="55" t="s">
        <v>36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2.75">
      <c r="A15" s="48" t="s">
        <v>56</v>
      </c>
      <c r="D15" s="56">
        <f>D13</f>
        <v>63051.48</v>
      </c>
      <c r="E15" s="56">
        <f>E13</f>
        <v>0</v>
      </c>
      <c r="F15" s="56">
        <f>SUM(F13)</f>
        <v>0</v>
      </c>
      <c r="G15" s="56">
        <f>SUM(G13)</f>
        <v>0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4:17" ht="12.75"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7" ht="12.75">
      <c r="A17" s="57" t="s">
        <v>57</v>
      </c>
      <c r="C17" t="s">
        <v>58</v>
      </c>
      <c r="D17" s="56">
        <v>0</v>
      </c>
      <c r="E17" s="56">
        <v>9023841</v>
      </c>
      <c r="F17" s="56">
        <v>9948168</v>
      </c>
      <c r="G17" s="56">
        <v>11467558</v>
      </c>
      <c r="H17" s="56">
        <v>11195700</v>
      </c>
      <c r="I17" s="56">
        <v>11854955</v>
      </c>
      <c r="J17" s="56">
        <v>11931500</v>
      </c>
      <c r="K17" s="56">
        <v>12051347</v>
      </c>
      <c r="L17" s="56">
        <v>11958579</v>
      </c>
      <c r="M17" s="56">
        <f>M74</f>
        <v>14386503.660000002</v>
      </c>
      <c r="N17" s="56">
        <v>12995558</v>
      </c>
      <c r="O17" s="56">
        <f>O74</f>
        <v>13851476.9</v>
      </c>
      <c r="P17" s="56">
        <f>P74</f>
        <v>14030000.53</v>
      </c>
      <c r="Q17" s="56">
        <f>Q74</f>
        <v>14160300</v>
      </c>
    </row>
    <row r="18" spans="1:17" ht="12.75">
      <c r="A18" s="48" t="s">
        <v>59</v>
      </c>
      <c r="C18" s="52" t="s">
        <v>60</v>
      </c>
      <c r="D18" s="56">
        <v>4902793.58</v>
      </c>
      <c r="E18" s="56">
        <v>0</v>
      </c>
      <c r="F18" s="56">
        <v>0</v>
      </c>
      <c r="G18" s="56">
        <v>0</v>
      </c>
      <c r="H18" s="56"/>
      <c r="I18" s="56"/>
      <c r="J18" s="56"/>
      <c r="K18" s="56"/>
      <c r="L18" s="56"/>
      <c r="M18" s="56"/>
      <c r="N18" s="56"/>
      <c r="O18" s="56">
        <v>0</v>
      </c>
      <c r="P18" s="56">
        <v>0</v>
      </c>
      <c r="Q18" s="56">
        <v>0</v>
      </c>
    </row>
    <row r="19" spans="1:17" ht="12.75">
      <c r="A19" s="48" t="s">
        <v>61</v>
      </c>
      <c r="C19" s="52" t="s">
        <v>62</v>
      </c>
      <c r="D19" s="56">
        <v>60000</v>
      </c>
      <c r="E19" s="56">
        <v>0</v>
      </c>
      <c r="F19" s="56">
        <v>0</v>
      </c>
      <c r="G19" s="56">
        <v>0</v>
      </c>
      <c r="H19" s="56"/>
      <c r="I19" s="56"/>
      <c r="J19" s="56"/>
      <c r="K19" s="56"/>
      <c r="L19" s="56"/>
      <c r="M19" s="56"/>
      <c r="N19" s="56"/>
      <c r="O19" s="56">
        <v>0</v>
      </c>
      <c r="P19" s="56">
        <v>0</v>
      </c>
      <c r="Q19" s="56">
        <v>0</v>
      </c>
    </row>
    <row r="20" spans="1:17" ht="12.75">
      <c r="A20" s="50" t="s">
        <v>36</v>
      </c>
      <c r="B20" s="51" t="s">
        <v>36</v>
      </c>
      <c r="C20" s="51" t="s">
        <v>36</v>
      </c>
      <c r="D20" s="55" t="s">
        <v>36</v>
      </c>
      <c r="E20" s="55" t="s">
        <v>36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>
      <c r="A21" s="48" t="s">
        <v>63</v>
      </c>
      <c r="D21" s="56">
        <f>SUM(D18:D19)</f>
        <v>4962793.58</v>
      </c>
      <c r="E21" s="56">
        <f aca="true" t="shared" si="0" ref="E21:N21">SUM(E17:E19)</f>
        <v>9023841</v>
      </c>
      <c r="F21" s="56">
        <f t="shared" si="0"/>
        <v>9948168</v>
      </c>
      <c r="G21" s="56">
        <f t="shared" si="0"/>
        <v>11467558</v>
      </c>
      <c r="H21" s="56">
        <f t="shared" si="0"/>
        <v>11195700</v>
      </c>
      <c r="I21" s="56">
        <f t="shared" si="0"/>
        <v>11854955</v>
      </c>
      <c r="J21" s="56">
        <f t="shared" si="0"/>
        <v>11931500</v>
      </c>
      <c r="K21" s="56">
        <f t="shared" si="0"/>
        <v>12051347</v>
      </c>
      <c r="L21" s="56">
        <f t="shared" si="0"/>
        <v>11958579</v>
      </c>
      <c r="M21" s="56">
        <f t="shared" si="0"/>
        <v>14386503.660000002</v>
      </c>
      <c r="N21" s="56">
        <f t="shared" si="0"/>
        <v>12995558</v>
      </c>
      <c r="O21" s="56">
        <f>SUM(O17:O19)</f>
        <v>13851476.9</v>
      </c>
      <c r="P21" s="56">
        <f>SUM(P17:P19)</f>
        <v>14030000.53</v>
      </c>
      <c r="Q21" s="56">
        <f>SUM(Q17:Q19)</f>
        <v>14160300</v>
      </c>
    </row>
    <row r="22" spans="4:17" ht="12.75"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4:17" ht="12.75"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</row>
    <row r="24" spans="1:17" ht="12.75">
      <c r="A24" s="48" t="s">
        <v>64</v>
      </c>
      <c r="C24" s="52" t="s">
        <v>65</v>
      </c>
      <c r="D24" s="56">
        <f>201224.22+17250</f>
        <v>218474.22</v>
      </c>
      <c r="E24" s="56">
        <v>0</v>
      </c>
      <c r="F24" s="56">
        <v>224</v>
      </c>
      <c r="G24" s="56">
        <v>0</v>
      </c>
      <c r="H24" s="56"/>
      <c r="I24" s="56"/>
      <c r="J24" s="56"/>
      <c r="K24" s="56"/>
      <c r="L24" s="56"/>
      <c r="M24" s="56"/>
      <c r="N24" s="56"/>
      <c r="O24" s="56">
        <v>0</v>
      </c>
      <c r="P24" s="56">
        <v>0</v>
      </c>
      <c r="Q24" s="56">
        <v>0</v>
      </c>
    </row>
    <row r="25" spans="1:17" ht="12.75">
      <c r="A25" s="50" t="s">
        <v>36</v>
      </c>
      <c r="B25" s="51" t="s">
        <v>36</v>
      </c>
      <c r="C25" s="51" t="s">
        <v>36</v>
      </c>
      <c r="D25" s="55" t="s">
        <v>36</v>
      </c>
      <c r="E25" s="55" t="s">
        <v>36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ht="12.75">
      <c r="A26" s="48" t="s">
        <v>66</v>
      </c>
      <c r="D26" s="56">
        <f>D24</f>
        <v>218474.22</v>
      </c>
      <c r="E26" s="56">
        <f>E24</f>
        <v>0</v>
      </c>
      <c r="F26" s="56">
        <f>SUM(F24)</f>
        <v>224</v>
      </c>
      <c r="G26" s="56">
        <f>SUM(G24)</f>
        <v>0</v>
      </c>
      <c r="H26" s="56"/>
      <c r="I26" s="56"/>
      <c r="J26" s="56"/>
      <c r="K26" s="56"/>
      <c r="L26" s="56"/>
      <c r="M26" s="56"/>
      <c r="N26" s="56"/>
      <c r="O26" s="56">
        <f>SUM(O24:O25)</f>
        <v>0</v>
      </c>
      <c r="P26" s="56">
        <f>SUM(P24:P25)</f>
        <v>0</v>
      </c>
      <c r="Q26" s="56">
        <f>SUM(Q24:Q25)</f>
        <v>0</v>
      </c>
    </row>
    <row r="27" ht="12.75"/>
    <row r="28" spans="1:17" ht="12.75">
      <c r="A28" s="50" t="s">
        <v>67</v>
      </c>
      <c r="B28" s="51" t="s">
        <v>67</v>
      </c>
      <c r="C28" s="51" t="s">
        <v>67</v>
      </c>
      <c r="D28" s="55" t="s">
        <v>67</v>
      </c>
      <c r="E28" s="55" t="s">
        <v>67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2.75">
      <c r="A29" s="48" t="s">
        <v>68</v>
      </c>
      <c r="D29" s="56">
        <f aca="true" t="shared" si="1" ref="D29:L29">D15+D21+D26</f>
        <v>5244319.28</v>
      </c>
      <c r="E29" s="56">
        <f>E15+E21+E26</f>
        <v>9023841</v>
      </c>
      <c r="F29" s="56">
        <f t="shared" si="1"/>
        <v>9948392</v>
      </c>
      <c r="G29" s="56">
        <f>G15+G21+G26</f>
        <v>11467558</v>
      </c>
      <c r="H29" s="56">
        <f>H15+H21+H26</f>
        <v>11195700</v>
      </c>
      <c r="I29" s="56">
        <f t="shared" si="1"/>
        <v>11854955</v>
      </c>
      <c r="J29" s="56">
        <f t="shared" si="1"/>
        <v>11931500</v>
      </c>
      <c r="K29" s="56">
        <f t="shared" si="1"/>
        <v>12051347</v>
      </c>
      <c r="L29" s="56">
        <f t="shared" si="1"/>
        <v>11958579</v>
      </c>
      <c r="M29" s="56">
        <f>M21</f>
        <v>14386503.660000002</v>
      </c>
      <c r="N29" s="56">
        <f>N21</f>
        <v>12995558</v>
      </c>
      <c r="O29" s="56">
        <f>O15+O21+O26</f>
        <v>13851476.9</v>
      </c>
      <c r="P29" s="56">
        <f>P15+P21+P26</f>
        <v>14030000.53</v>
      </c>
      <c r="Q29" s="56">
        <f>Q15+Q21+Q26</f>
        <v>14160300</v>
      </c>
    </row>
    <row r="30" spans="1:18" ht="12.75">
      <c r="A30" s="50" t="s">
        <v>67</v>
      </c>
      <c r="B30" s="51" t="s">
        <v>67</v>
      </c>
      <c r="C30" s="51" t="s">
        <v>67</v>
      </c>
      <c r="D30" s="55" t="s">
        <v>67</v>
      </c>
      <c r="E30" s="55" t="s">
        <v>67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t="s">
        <v>127</v>
      </c>
    </row>
    <row r="31" ht="12.75"/>
    <row r="32" spans="1:6" ht="12.75">
      <c r="A32" s="48" t="s">
        <v>69</v>
      </c>
      <c r="D32" s="56"/>
      <c r="F32" s="44" t="s">
        <v>29</v>
      </c>
    </row>
    <row r="33" spans="1:17" ht="12.75">
      <c r="A33" s="50" t="s">
        <v>29</v>
      </c>
      <c r="B33" s="51" t="s">
        <v>29</v>
      </c>
      <c r="C33" s="51" t="s">
        <v>29</v>
      </c>
      <c r="D33" s="56" t="s">
        <v>38</v>
      </c>
      <c r="E33" s="44" t="s">
        <v>39</v>
      </c>
      <c r="F33" s="44" t="s">
        <v>40</v>
      </c>
      <c r="G33" s="44" t="s">
        <v>41</v>
      </c>
      <c r="H33" s="44" t="s">
        <v>42</v>
      </c>
      <c r="I33" s="44" t="s">
        <v>43</v>
      </c>
      <c r="J33" s="44" t="s">
        <v>44</v>
      </c>
      <c r="K33" s="44" t="s">
        <v>45</v>
      </c>
      <c r="L33" s="44" t="s">
        <v>46</v>
      </c>
      <c r="M33" s="44" t="s">
        <v>47</v>
      </c>
      <c r="N33" s="44" t="s">
        <v>48</v>
      </c>
      <c r="O33" s="44" t="s">
        <v>125</v>
      </c>
      <c r="P33" s="44" t="s">
        <v>125</v>
      </c>
      <c r="Q33" s="44" t="s">
        <v>132</v>
      </c>
    </row>
    <row r="34" spans="1:17" ht="12.75">
      <c r="A34" s="48" t="s">
        <v>49</v>
      </c>
      <c r="C34" s="53" t="s">
        <v>50</v>
      </c>
      <c r="D34" s="58" t="s">
        <v>51</v>
      </c>
      <c r="E34" s="58" t="s">
        <v>51</v>
      </c>
      <c r="F34" s="58" t="s">
        <v>51</v>
      </c>
      <c r="G34" s="44" t="s">
        <v>51</v>
      </c>
      <c r="H34" s="44" t="s">
        <v>52</v>
      </c>
      <c r="I34" s="44" t="s">
        <v>52</v>
      </c>
      <c r="J34" s="44" t="s">
        <v>52</v>
      </c>
      <c r="K34" s="44" t="s">
        <v>52</v>
      </c>
      <c r="L34" s="44" t="s">
        <v>52</v>
      </c>
      <c r="M34" s="44" t="s">
        <v>52</v>
      </c>
      <c r="N34" s="44" t="s">
        <v>51</v>
      </c>
      <c r="O34" s="44" t="s">
        <v>53</v>
      </c>
      <c r="P34" s="44" t="s">
        <v>133</v>
      </c>
      <c r="Q34" s="44" t="s">
        <v>124</v>
      </c>
    </row>
    <row r="35" spans="1:17" ht="12.75">
      <c r="A35" s="50" t="s">
        <v>36</v>
      </c>
      <c r="C35" s="51" t="s">
        <v>36</v>
      </c>
      <c r="D35" s="55" t="s">
        <v>36</v>
      </c>
      <c r="E35" s="55" t="s">
        <v>36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12.75" hidden="1">
      <c r="A36" s="50">
        <v>51200100</v>
      </c>
      <c r="C36" s="51" t="s">
        <v>70</v>
      </c>
      <c r="D36" s="55"/>
      <c r="E36" s="55"/>
      <c r="F36" s="55"/>
      <c r="G36" s="55"/>
      <c r="H36" s="56">
        <v>0</v>
      </c>
      <c r="I36" s="56">
        <v>1500</v>
      </c>
      <c r="J36" s="44">
        <v>3700</v>
      </c>
      <c r="O36" s="56">
        <v>0</v>
      </c>
      <c r="P36" s="56">
        <v>0</v>
      </c>
      <c r="Q36" s="56">
        <v>0</v>
      </c>
    </row>
    <row r="37" spans="1:17" ht="12.75" hidden="1">
      <c r="A37" s="50">
        <v>51300300</v>
      </c>
      <c r="C37" s="51" t="s">
        <v>71</v>
      </c>
      <c r="D37" s="55"/>
      <c r="E37" s="55"/>
      <c r="F37" s="55"/>
      <c r="G37" s="55"/>
      <c r="H37" s="56">
        <v>0</v>
      </c>
      <c r="I37" s="56">
        <v>21.75</v>
      </c>
      <c r="J37" s="44">
        <v>53.65</v>
      </c>
      <c r="O37" s="59">
        <f>O36*0.0145</f>
        <v>0</v>
      </c>
      <c r="P37" s="59">
        <f>P36*0.0145</f>
        <v>0</v>
      </c>
      <c r="Q37" s="59">
        <f>Q36*0.0145</f>
        <v>0</v>
      </c>
    </row>
    <row r="38" spans="1:17" ht="12.75" hidden="1">
      <c r="A38" s="50">
        <v>51301200</v>
      </c>
      <c r="C38" s="51" t="s">
        <v>72</v>
      </c>
      <c r="D38" s="55"/>
      <c r="E38" s="55"/>
      <c r="F38" s="55"/>
      <c r="G38" s="55"/>
      <c r="H38" s="56">
        <v>0</v>
      </c>
      <c r="I38" s="56">
        <v>59.34</v>
      </c>
      <c r="J38" s="44">
        <v>287.02</v>
      </c>
      <c r="O38" s="56">
        <f>O36*0.09</f>
        <v>0</v>
      </c>
      <c r="P38" s="56">
        <f>P36*0.09</f>
        <v>0</v>
      </c>
      <c r="Q38" s="56">
        <f>Q36*0.09</f>
        <v>0</v>
      </c>
    </row>
    <row r="39" spans="1:17" ht="12.75" hidden="1">
      <c r="A39" s="50" t="s">
        <v>67</v>
      </c>
      <c r="B39" s="51" t="s">
        <v>67</v>
      </c>
      <c r="C39" s="51" t="s">
        <v>67</v>
      </c>
      <c r="D39" s="55" t="s">
        <v>67</v>
      </c>
      <c r="E39" s="55" t="s">
        <v>67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ht="12.75" hidden="1">
      <c r="A40" s="48" t="s">
        <v>73</v>
      </c>
      <c r="D40" s="56">
        <f>D26+D32+D37</f>
        <v>218474.22</v>
      </c>
      <c r="E40" s="56">
        <f>E26+E32+E37</f>
        <v>0</v>
      </c>
      <c r="F40" s="56" t="e">
        <f>F26+F32+F37</f>
        <v>#VALUE!</v>
      </c>
      <c r="G40" s="56">
        <f>G26+G32+G37</f>
        <v>0</v>
      </c>
      <c r="H40" s="56">
        <f>SUM(H36:H38)</f>
        <v>0</v>
      </c>
      <c r="I40" s="56">
        <f>SUM(I36:I38)</f>
        <v>1581.09</v>
      </c>
      <c r="J40" s="56">
        <f>SUM(J36:J38)</f>
        <v>4040.67</v>
      </c>
      <c r="K40" s="56"/>
      <c r="L40" s="56"/>
      <c r="M40" s="56"/>
      <c r="N40" s="56"/>
      <c r="O40" s="56">
        <f>SUM(O36:O39)</f>
        <v>0</v>
      </c>
      <c r="P40" s="56">
        <f>SUM(P36:P39)</f>
        <v>0</v>
      </c>
      <c r="Q40" s="56">
        <f>SUM(Q36:Q39)</f>
        <v>0</v>
      </c>
    </row>
    <row r="41" spans="1:17" ht="12.75" hidden="1">
      <c r="A41" s="50" t="s">
        <v>67</v>
      </c>
      <c r="B41" s="51" t="s">
        <v>67</v>
      </c>
      <c r="C41" s="51" t="s">
        <v>67</v>
      </c>
      <c r="D41" s="55" t="s">
        <v>67</v>
      </c>
      <c r="E41" s="55" t="s">
        <v>67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ht="12.75">
      <c r="A42" s="50"/>
      <c r="B42" s="51"/>
      <c r="C42" s="51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12.75">
      <c r="A43" s="50">
        <v>52185010</v>
      </c>
      <c r="B43" s="51"/>
      <c r="C43" s="52" t="s">
        <v>74</v>
      </c>
      <c r="D43" s="55"/>
      <c r="E43" s="55"/>
      <c r="F43" s="55"/>
      <c r="G43" s="55"/>
      <c r="H43" s="55"/>
      <c r="I43" s="55"/>
      <c r="J43" s="55">
        <v>4041</v>
      </c>
      <c r="K43" s="55">
        <v>4100</v>
      </c>
      <c r="L43" s="55">
        <v>4100</v>
      </c>
      <c r="M43" s="55">
        <v>3900</v>
      </c>
      <c r="N43" s="55">
        <v>4600</v>
      </c>
      <c r="O43" s="55">
        <v>4800</v>
      </c>
      <c r="P43" s="55">
        <v>4800</v>
      </c>
      <c r="Q43" s="55">
        <v>4800</v>
      </c>
    </row>
    <row r="44" spans="1:17" ht="12.75">
      <c r="A44" s="48">
        <v>52000000</v>
      </c>
      <c r="C44" s="52" t="s">
        <v>75</v>
      </c>
      <c r="D44" s="56">
        <v>130.19</v>
      </c>
      <c r="E44" s="56">
        <v>0</v>
      </c>
      <c r="F44" s="56">
        <v>0</v>
      </c>
      <c r="G44" s="56">
        <v>0</v>
      </c>
      <c r="H44" s="56"/>
      <c r="I44" s="56"/>
      <c r="J44" s="56"/>
      <c r="K44" s="56"/>
      <c r="L44" s="56">
        <v>0</v>
      </c>
      <c r="M44" s="56"/>
      <c r="N44" s="56" t="s">
        <v>29</v>
      </c>
      <c r="O44" s="56"/>
      <c r="P44" s="56"/>
      <c r="Q44" s="56"/>
    </row>
    <row r="45" spans="1:17" ht="12.75">
      <c r="A45" s="48">
        <v>52070000</v>
      </c>
      <c r="C45" s="52" t="s">
        <v>76</v>
      </c>
      <c r="D45" s="56"/>
      <c r="E45" s="56"/>
      <c r="F45" s="56"/>
      <c r="G45" s="56"/>
      <c r="H45" s="56">
        <v>0</v>
      </c>
      <c r="I45" s="56">
        <v>23.21</v>
      </c>
      <c r="J45" s="56">
        <v>0</v>
      </c>
      <c r="K45" s="56"/>
      <c r="L45" s="56">
        <v>0</v>
      </c>
      <c r="M45" s="56">
        <v>156.85</v>
      </c>
      <c r="N45" s="56">
        <v>0</v>
      </c>
      <c r="O45" s="56">
        <v>0</v>
      </c>
      <c r="P45" s="56">
        <v>0</v>
      </c>
      <c r="Q45" s="56">
        <v>0</v>
      </c>
    </row>
    <row r="46" spans="1:17" ht="12.75">
      <c r="A46" s="48">
        <v>52090000</v>
      </c>
      <c r="C46" s="52" t="s">
        <v>77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29</v>
      </c>
      <c r="M46" s="56">
        <v>34.29</v>
      </c>
      <c r="N46" s="56">
        <v>42.64</v>
      </c>
      <c r="O46" s="56">
        <v>200</v>
      </c>
      <c r="P46" s="56">
        <v>200</v>
      </c>
      <c r="Q46" s="56">
        <v>200</v>
      </c>
    </row>
    <row r="47" spans="1:17" ht="12.75">
      <c r="A47" s="48">
        <v>52100300</v>
      </c>
      <c r="C47" s="52" t="s">
        <v>78</v>
      </c>
      <c r="D47" s="56">
        <v>36540</v>
      </c>
      <c r="E47" s="56">
        <v>20056</v>
      </c>
      <c r="F47" s="56">
        <v>9977.03</v>
      </c>
      <c r="G47" s="56">
        <v>38296</v>
      </c>
      <c r="H47" s="56">
        <v>65100</v>
      </c>
      <c r="I47" s="56">
        <v>0</v>
      </c>
      <c r="J47" s="56">
        <v>32882</v>
      </c>
      <c r="K47" s="56">
        <v>74372.5</v>
      </c>
      <c r="L47" s="56"/>
      <c r="M47" s="56">
        <v>48511</v>
      </c>
      <c r="N47" s="56">
        <v>152348.6</v>
      </c>
      <c r="O47" s="56">
        <v>160000</v>
      </c>
      <c r="P47" s="56">
        <v>145744.53</v>
      </c>
      <c r="Q47" s="56">
        <v>150000</v>
      </c>
    </row>
    <row r="48" spans="1:17" ht="12.75">
      <c r="A48" s="48">
        <v>52150000</v>
      </c>
      <c r="C48" s="52" t="s">
        <v>79</v>
      </c>
      <c r="D48" s="56"/>
      <c r="E48" s="56"/>
      <c r="F48" s="56"/>
      <c r="G48" s="56"/>
      <c r="H48" s="56"/>
      <c r="I48" s="56"/>
      <c r="J48" s="56">
        <v>536</v>
      </c>
      <c r="K48" s="56">
        <v>745</v>
      </c>
      <c r="L48" s="56">
        <v>604</v>
      </c>
      <c r="M48" s="56">
        <v>652</v>
      </c>
      <c r="N48" s="56">
        <v>692</v>
      </c>
      <c r="O48" s="56">
        <v>750</v>
      </c>
      <c r="P48" s="56">
        <v>750</v>
      </c>
      <c r="Q48" s="56">
        <v>750</v>
      </c>
    </row>
    <row r="49" spans="1:17" ht="12.75">
      <c r="A49" s="48">
        <v>52170000</v>
      </c>
      <c r="C49" s="52" t="s">
        <v>80</v>
      </c>
      <c r="D49" s="56">
        <v>602.69</v>
      </c>
      <c r="E49" s="56">
        <v>596.26</v>
      </c>
      <c r="F49" s="56">
        <v>815.58</v>
      </c>
      <c r="G49" s="56">
        <v>877.81</v>
      </c>
      <c r="H49" s="56">
        <v>1315.15</v>
      </c>
      <c r="I49" s="56">
        <v>3788.19</v>
      </c>
      <c r="J49" s="56">
        <v>536</v>
      </c>
      <c r="K49" s="56">
        <v>441.91</v>
      </c>
      <c r="L49" s="56">
        <v>1339</v>
      </c>
      <c r="M49" s="56">
        <v>680.5</v>
      </c>
      <c r="N49" s="56">
        <v>1875.6</v>
      </c>
      <c r="O49" s="56">
        <v>500</v>
      </c>
      <c r="P49" s="56">
        <v>750</v>
      </c>
      <c r="Q49" s="56">
        <v>750</v>
      </c>
    </row>
    <row r="50" spans="1:17" ht="12.75">
      <c r="A50" s="48">
        <v>52180500</v>
      </c>
      <c r="C50" s="52" t="s">
        <v>81</v>
      </c>
      <c r="D50" s="56">
        <v>25430.07</v>
      </c>
      <c r="E50" s="56">
        <v>110.75</v>
      </c>
      <c r="F50" s="56">
        <v>0</v>
      </c>
      <c r="G50" s="56">
        <v>0</v>
      </c>
      <c r="H50" s="56">
        <v>0</v>
      </c>
      <c r="I50" s="56">
        <f>F50-G50</f>
        <v>0</v>
      </c>
      <c r="J50" s="56">
        <f>H50-I50</f>
        <v>0</v>
      </c>
      <c r="K50" s="56">
        <v>0</v>
      </c>
      <c r="L50" s="56">
        <v>0</v>
      </c>
      <c r="M50" s="56"/>
      <c r="N50" s="56"/>
      <c r="O50" s="56"/>
      <c r="P50" s="56"/>
      <c r="Q50" s="56"/>
    </row>
    <row r="51" spans="1:17" ht="12.75">
      <c r="A51" s="48">
        <v>52186300</v>
      </c>
      <c r="C51" s="52" t="s">
        <v>82</v>
      </c>
      <c r="D51" s="56">
        <v>77441.97</v>
      </c>
      <c r="E51" s="56">
        <v>31563.95</v>
      </c>
      <c r="F51" s="56">
        <v>46104.37</v>
      </c>
      <c r="G51" s="56">
        <v>55419.12</v>
      </c>
      <c r="H51" s="56">
        <v>75594.8</v>
      </c>
      <c r="I51" s="56">
        <v>55684.78</v>
      </c>
      <c r="J51" s="56">
        <v>92456.12</v>
      </c>
      <c r="K51" s="56">
        <v>63202.73</v>
      </c>
      <c r="L51" s="56">
        <v>141745</v>
      </c>
      <c r="M51" s="56">
        <v>153595.38</v>
      </c>
      <c r="N51" s="56">
        <v>162496.93</v>
      </c>
      <c r="O51" s="56">
        <v>150000</v>
      </c>
      <c r="P51" s="56">
        <v>150000</v>
      </c>
      <c r="Q51" s="56">
        <v>160000</v>
      </c>
    </row>
    <row r="52" spans="1:17" ht="12.75">
      <c r="A52" s="48">
        <v>52190000</v>
      </c>
      <c r="C52" s="52" t="s">
        <v>83</v>
      </c>
      <c r="D52" s="56">
        <v>614.85</v>
      </c>
      <c r="E52" s="56">
        <v>3320.07</v>
      </c>
      <c r="F52" s="56">
        <v>120.86</v>
      </c>
      <c r="G52" s="56">
        <v>43.97</v>
      </c>
      <c r="H52" s="56">
        <v>1472.34</v>
      </c>
      <c r="I52" s="56">
        <v>5709.43</v>
      </c>
      <c r="J52" s="56">
        <v>375.56</v>
      </c>
      <c r="K52" s="56">
        <v>104.84</v>
      </c>
      <c r="L52" s="56">
        <v>2139</v>
      </c>
      <c r="M52" s="56"/>
      <c r="N52" s="56">
        <v>3234.62</v>
      </c>
      <c r="O52" s="56">
        <v>250</v>
      </c>
      <c r="P52" s="56">
        <v>350</v>
      </c>
      <c r="Q52" s="56">
        <v>500</v>
      </c>
    </row>
    <row r="53" spans="1:17" ht="12.75">
      <c r="A53" s="48">
        <v>52235000</v>
      </c>
      <c r="C53" s="52" t="s">
        <v>84</v>
      </c>
      <c r="D53" s="56">
        <v>375</v>
      </c>
      <c r="E53" s="56">
        <v>0</v>
      </c>
      <c r="F53" s="56">
        <v>0</v>
      </c>
      <c r="G53" s="56">
        <v>198927</v>
      </c>
      <c r="H53" s="56">
        <f>6469.37</f>
        <v>6469.37</v>
      </c>
      <c r="I53" s="56">
        <v>8667.63</v>
      </c>
      <c r="J53" s="56">
        <v>7110</v>
      </c>
      <c r="K53" s="56">
        <v>0</v>
      </c>
      <c r="L53" s="56">
        <v>7692</v>
      </c>
      <c r="M53" s="56">
        <v>24889.11</v>
      </c>
      <c r="N53" s="56">
        <v>14823.89</v>
      </c>
      <c r="O53" s="56">
        <v>2000</v>
      </c>
      <c r="P53" s="56">
        <v>2000</v>
      </c>
      <c r="Q53" s="56">
        <v>2000</v>
      </c>
    </row>
    <row r="54" spans="1:17" ht="12.75">
      <c r="A54" s="48">
        <v>52250000</v>
      </c>
      <c r="C54" s="52" t="s">
        <v>85</v>
      </c>
      <c r="D54" s="56">
        <v>6.7</v>
      </c>
      <c r="E54" s="56">
        <v>3588.03</v>
      </c>
      <c r="F54" s="56">
        <v>3686.92</v>
      </c>
      <c r="G54" s="56">
        <v>6582.46</v>
      </c>
      <c r="H54" s="56">
        <v>5577.44</v>
      </c>
      <c r="I54" s="56">
        <v>6869.82</v>
      </c>
      <c r="J54" s="56">
        <v>4362.32</v>
      </c>
      <c r="K54" s="56">
        <v>7831.53</v>
      </c>
      <c r="L54" s="56">
        <v>7692</v>
      </c>
      <c r="M54" s="56"/>
      <c r="N54" s="56">
        <v>8896</v>
      </c>
      <c r="O54" s="56">
        <v>14000</v>
      </c>
      <c r="P54" s="56">
        <v>10000</v>
      </c>
      <c r="Q54" s="56">
        <v>14000</v>
      </c>
    </row>
    <row r="55" spans="1:17" ht="12.75">
      <c r="A55" s="48">
        <v>52251200</v>
      </c>
      <c r="C55" s="52" t="s">
        <v>86</v>
      </c>
      <c r="D55" s="56"/>
      <c r="E55" s="56"/>
      <c r="F55" s="56"/>
      <c r="G55" s="56"/>
      <c r="H55" s="56">
        <v>264.74</v>
      </c>
      <c r="I55" s="56">
        <v>172.58</v>
      </c>
      <c r="J55" s="56">
        <v>500</v>
      </c>
      <c r="K55" s="56">
        <v>356.76</v>
      </c>
      <c r="L55" s="56">
        <v>164</v>
      </c>
      <c r="M55" s="56"/>
      <c r="N55" s="56">
        <v>225.86</v>
      </c>
      <c r="O55" s="56">
        <v>700</v>
      </c>
      <c r="P55" s="56">
        <v>700</v>
      </c>
      <c r="Q55" s="56">
        <v>700</v>
      </c>
    </row>
    <row r="56" spans="1:19" ht="12.75">
      <c r="A56" s="48"/>
      <c r="D56" s="56"/>
      <c r="E56" s="56"/>
      <c r="F56" s="56"/>
      <c r="G56" s="56"/>
      <c r="H56" s="56"/>
      <c r="I56" s="56"/>
      <c r="J56" s="56"/>
      <c r="K56" s="56"/>
      <c r="L56" s="56"/>
      <c r="M56" s="85">
        <f>SUM(M43:M55)</f>
        <v>232419.13</v>
      </c>
      <c r="N56" s="85">
        <f>SUM(N43:N55)</f>
        <v>349236.14</v>
      </c>
      <c r="O56" s="85">
        <f>SUM(O43:O55)</f>
        <v>333200</v>
      </c>
      <c r="P56" s="85">
        <f>SUM(P43:P55)</f>
        <v>315294.53</v>
      </c>
      <c r="Q56" s="85">
        <f>SUM(Q43:Q55)</f>
        <v>333700</v>
      </c>
      <c r="R56" s="44">
        <f>SUM(O43:O55)</f>
        <v>333200</v>
      </c>
      <c r="S56" s="44">
        <f>SUM(M43:M55)</f>
        <v>232419.13</v>
      </c>
    </row>
    <row r="57" spans="1:17" ht="12.75">
      <c r="A57" s="48">
        <v>52100310</v>
      </c>
      <c r="C57" s="52" t="s">
        <v>87</v>
      </c>
      <c r="D57" s="56">
        <v>0</v>
      </c>
      <c r="E57" s="56">
        <v>151383.99</v>
      </c>
      <c r="F57" s="56">
        <v>135583.91</v>
      </c>
      <c r="G57" s="56">
        <v>115008.31</v>
      </c>
      <c r="H57" s="56">
        <v>68474.37</v>
      </c>
      <c r="I57" s="56">
        <v>0</v>
      </c>
      <c r="J57" s="56">
        <v>0</v>
      </c>
      <c r="K57" s="56">
        <v>0</v>
      </c>
      <c r="L57" s="56">
        <v>0</v>
      </c>
      <c r="M57" s="56"/>
      <c r="N57" s="56">
        <v>0</v>
      </c>
      <c r="O57" s="56">
        <v>0</v>
      </c>
      <c r="P57" s="56">
        <v>0</v>
      </c>
      <c r="Q57" s="56">
        <v>0</v>
      </c>
    </row>
    <row r="58" spans="1:17" ht="12.75">
      <c r="A58" s="48">
        <v>52185000</v>
      </c>
      <c r="C58" s="52" t="s">
        <v>88</v>
      </c>
      <c r="D58" s="56">
        <v>145806.43</v>
      </c>
      <c r="E58" s="56">
        <v>113063.89</v>
      </c>
      <c r="F58" s="56">
        <v>155902.19</v>
      </c>
      <c r="G58" s="56">
        <v>218296.07</v>
      </c>
      <c r="H58" s="56">
        <v>147199.38</v>
      </c>
      <c r="I58" s="56">
        <v>175857.76</v>
      </c>
      <c r="J58" s="56">
        <v>224789.01</v>
      </c>
      <c r="K58" s="56">
        <f>161710.26+2176.54</f>
        <v>163886.80000000002</v>
      </c>
      <c r="L58" s="56">
        <v>404425</v>
      </c>
      <c r="M58" s="56">
        <v>177852.41</v>
      </c>
      <c r="N58" s="56">
        <v>376181.22</v>
      </c>
      <c r="O58" s="71">
        <v>174000</v>
      </c>
      <c r="P58" s="71">
        <v>240000</v>
      </c>
      <c r="Q58" s="71">
        <v>240000</v>
      </c>
    </row>
    <row r="59" spans="1:17" ht="12.75">
      <c r="A59" s="48">
        <v>52189130</v>
      </c>
      <c r="C59" s="52" t="s">
        <v>89</v>
      </c>
      <c r="D59" s="56">
        <v>2243326</v>
      </c>
      <c r="E59" s="56">
        <v>2466218</v>
      </c>
      <c r="F59" s="60">
        <v>621444.66</v>
      </c>
      <c r="G59" s="56">
        <f>13683.22+923810.41</f>
        <v>937493.63</v>
      </c>
      <c r="H59" s="56">
        <f>824725.05+688</f>
        <v>825413.05</v>
      </c>
      <c r="I59" s="56">
        <v>811786.05</v>
      </c>
      <c r="J59" s="56">
        <v>1097541.3</v>
      </c>
      <c r="K59" s="56">
        <f>546345.04+64425.31</f>
        <v>610770.3500000001</v>
      </c>
      <c r="L59" s="56">
        <v>193436</v>
      </c>
      <c r="M59" s="56">
        <v>807107.03</v>
      </c>
      <c r="N59" s="56">
        <v>703366.51</v>
      </c>
      <c r="O59" s="56">
        <v>480000</v>
      </c>
      <c r="P59" s="56">
        <v>240000</v>
      </c>
      <c r="Q59" s="56">
        <v>240000</v>
      </c>
    </row>
    <row r="60" spans="1:17" ht="12.75">
      <c r="A60" s="48">
        <v>52189140</v>
      </c>
      <c r="C60" s="52" t="s">
        <v>90</v>
      </c>
      <c r="D60" s="56">
        <v>0</v>
      </c>
      <c r="E60" s="56">
        <v>0</v>
      </c>
      <c r="F60" s="56">
        <v>2885.25</v>
      </c>
      <c r="G60" s="56">
        <f>5996.09</f>
        <v>5996.09</v>
      </c>
      <c r="H60" s="56">
        <v>1036.24</v>
      </c>
      <c r="I60" s="56">
        <v>2976.46</v>
      </c>
      <c r="J60" s="56">
        <v>1379.02</v>
      </c>
      <c r="K60" s="56">
        <v>1450.59</v>
      </c>
      <c r="L60" s="56">
        <v>1415</v>
      </c>
      <c r="M60" s="56">
        <v>2563.59</v>
      </c>
      <c r="N60" s="56">
        <v>7849.15</v>
      </c>
      <c r="O60" s="56">
        <v>10000</v>
      </c>
      <c r="P60" s="56">
        <v>10000</v>
      </c>
      <c r="Q60" s="56">
        <v>12000</v>
      </c>
    </row>
    <row r="61" spans="1:17" ht="12.75">
      <c r="A61" s="48">
        <v>52237300</v>
      </c>
      <c r="C61" s="52" t="s">
        <v>91</v>
      </c>
      <c r="D61" s="56">
        <v>198914.93</v>
      </c>
      <c r="E61" s="56">
        <v>0</v>
      </c>
      <c r="F61" s="56">
        <v>14010.78</v>
      </c>
      <c r="G61" s="56">
        <v>0</v>
      </c>
      <c r="H61" s="56">
        <v>13342</v>
      </c>
      <c r="I61" s="56">
        <v>0</v>
      </c>
      <c r="J61" s="56">
        <v>0</v>
      </c>
      <c r="K61" s="56">
        <v>0</v>
      </c>
      <c r="L61" s="56"/>
      <c r="M61" s="56">
        <v>0</v>
      </c>
      <c r="N61" s="56">
        <v>160.71</v>
      </c>
      <c r="O61" s="56">
        <v>100</v>
      </c>
      <c r="P61" s="56">
        <v>100</v>
      </c>
      <c r="Q61" s="56">
        <v>100</v>
      </c>
    </row>
    <row r="62" spans="1:19" ht="12.75">
      <c r="A62" s="48"/>
      <c r="C62" s="52"/>
      <c r="D62" s="56"/>
      <c r="E62" s="56"/>
      <c r="F62" s="56"/>
      <c r="G62" s="56"/>
      <c r="H62" s="56"/>
      <c r="I62" s="56"/>
      <c r="J62" s="56"/>
      <c r="K62" s="56"/>
      <c r="L62" s="56"/>
      <c r="M62" s="85">
        <f>SUM(M57:M61)</f>
        <v>987523.03</v>
      </c>
      <c r="N62" s="85">
        <f>SUM(N57:N61)</f>
        <v>1087557.5899999999</v>
      </c>
      <c r="O62" s="85">
        <f>SUM(O57:O61)</f>
        <v>664100</v>
      </c>
      <c r="P62" s="85">
        <f>SUM(P57:P61)</f>
        <v>490100</v>
      </c>
      <c r="Q62" s="85">
        <f>SUM(Q57:Q61)</f>
        <v>492100</v>
      </c>
      <c r="R62" s="44">
        <f>SUM(O58:O61)</f>
        <v>664100</v>
      </c>
      <c r="S62" s="44">
        <f>SUM(M58:M61)</f>
        <v>987523.03</v>
      </c>
    </row>
    <row r="63" spans="1:17" ht="12.75">
      <c r="A63" s="48">
        <v>52180000</v>
      </c>
      <c r="C63" s="52" t="s">
        <v>92</v>
      </c>
      <c r="D63" s="56"/>
      <c r="E63" s="56"/>
      <c r="F63" s="56"/>
      <c r="G63" s="56"/>
      <c r="H63" s="56">
        <v>688</v>
      </c>
      <c r="I63" s="56"/>
      <c r="J63" s="56"/>
      <c r="K63" s="56"/>
      <c r="O63" s="56">
        <v>0</v>
      </c>
      <c r="P63" s="56">
        <v>0</v>
      </c>
      <c r="Q63" s="56">
        <v>0</v>
      </c>
    </row>
    <row r="64" spans="1:17" ht="12.75">
      <c r="A64" s="61" t="s">
        <v>93</v>
      </c>
      <c r="C64" s="52" t="s">
        <v>94</v>
      </c>
      <c r="D64" s="56">
        <v>0</v>
      </c>
      <c r="E64" s="56">
        <v>0</v>
      </c>
      <c r="F64" s="62">
        <v>1341881</v>
      </c>
      <c r="G64" s="63">
        <v>1309906.25</v>
      </c>
      <c r="H64" s="56">
        <v>1558888.82</v>
      </c>
      <c r="I64" s="56">
        <v>1433353.9</v>
      </c>
      <c r="J64" s="56">
        <v>1644940.4</v>
      </c>
      <c r="K64" s="56">
        <f>163270.56+1803786.29</f>
        <v>1967056.85</v>
      </c>
      <c r="L64" s="56">
        <v>1956561</v>
      </c>
      <c r="M64" s="56">
        <v>2360035.28</v>
      </c>
      <c r="N64" s="56">
        <v>2056229.12</v>
      </c>
      <c r="O64" s="56">
        <f>(R66*9.44)</f>
        <v>2354241.6</v>
      </c>
      <c r="P64" s="56">
        <f>991350+1385756</f>
        <v>2377106</v>
      </c>
      <c r="Q64" s="56">
        <f>2668000-350000</f>
        <v>2318000</v>
      </c>
    </row>
    <row r="65" spans="1:18" ht="12.75">
      <c r="A65" s="61" t="s">
        <v>95</v>
      </c>
      <c r="C65" s="52" t="s">
        <v>96</v>
      </c>
      <c r="D65" s="56">
        <v>0</v>
      </c>
      <c r="E65" s="56">
        <v>0</v>
      </c>
      <c r="F65" s="62">
        <v>7044381.91</v>
      </c>
      <c r="G65" s="63">
        <v>7705881.95</v>
      </c>
      <c r="H65" s="56">
        <v>8775558.24</v>
      </c>
      <c r="I65" s="56">
        <v>8143906.87</v>
      </c>
      <c r="J65" s="56">
        <v>8839400.8</v>
      </c>
      <c r="K65" s="56">
        <f>763572.99+8094041.15</f>
        <v>8857614.14</v>
      </c>
      <c r="L65" s="56">
        <v>8896924</v>
      </c>
      <c r="M65" s="56">
        <v>10398051.23</v>
      </c>
      <c r="N65" s="56">
        <v>9110496.76</v>
      </c>
      <c r="O65" s="56">
        <f>R66*40.27</f>
        <v>10042935.3</v>
      </c>
      <c r="P65" s="56">
        <f>4265500+6125000</f>
        <v>10390500</v>
      </c>
      <c r="Q65" s="56">
        <f>10572000-12500</f>
        <v>10559500</v>
      </c>
      <c r="R65" t="s">
        <v>128</v>
      </c>
    </row>
    <row r="66" spans="1:19" ht="12.75">
      <c r="A66" s="61" t="s">
        <v>97</v>
      </c>
      <c r="C66" s="52" t="s">
        <v>98</v>
      </c>
      <c r="D66" s="56"/>
      <c r="E66" s="56"/>
      <c r="F66" s="62"/>
      <c r="G66" s="64">
        <v>0</v>
      </c>
      <c r="H66" s="56">
        <v>8602.58</v>
      </c>
      <c r="I66" s="56">
        <v>162237.75</v>
      </c>
      <c r="J66" s="56">
        <v>224789.01</v>
      </c>
      <c r="K66" s="56">
        <v>218421.04</v>
      </c>
      <c r="L66" s="56">
        <v>238335</v>
      </c>
      <c r="M66" s="56">
        <v>312786.47</v>
      </c>
      <c r="N66" s="56">
        <v>355563.92</v>
      </c>
      <c r="O66" s="56">
        <v>350000</v>
      </c>
      <c r="P66" s="56">
        <v>350000</v>
      </c>
      <c r="Q66" s="56">
        <v>350000</v>
      </c>
      <c r="R66" s="56">
        <f>244500*1.02</f>
        <v>249390</v>
      </c>
      <c r="S66" s="56">
        <v>256921</v>
      </c>
    </row>
    <row r="67" spans="1:17" ht="12.75">
      <c r="A67" s="61" t="s">
        <v>99</v>
      </c>
      <c r="C67" s="52" t="s">
        <v>100</v>
      </c>
      <c r="D67" s="56"/>
      <c r="E67" s="56"/>
      <c r="F67" s="62"/>
      <c r="G67" s="64"/>
      <c r="H67" s="56">
        <v>0</v>
      </c>
      <c r="I67" s="56">
        <v>0</v>
      </c>
      <c r="J67" s="56">
        <v>38297.99</v>
      </c>
      <c r="K67" s="56">
        <v>12012.49</v>
      </c>
      <c r="L67" s="56">
        <v>16323</v>
      </c>
      <c r="M67" s="56">
        <v>8764.39</v>
      </c>
      <c r="N67" s="56">
        <v>3942.55</v>
      </c>
      <c r="O67" s="56">
        <v>12500</v>
      </c>
      <c r="P67" s="56">
        <v>12500</v>
      </c>
      <c r="Q67" s="56">
        <v>12500</v>
      </c>
    </row>
    <row r="68" spans="1:17" ht="12.75">
      <c r="A68" s="61" t="s">
        <v>101</v>
      </c>
      <c r="C68" s="52" t="s">
        <v>102</v>
      </c>
      <c r="D68" s="56"/>
      <c r="E68" s="56"/>
      <c r="F68" s="62"/>
      <c r="G68" s="64"/>
      <c r="H68" s="56">
        <v>14.03</v>
      </c>
      <c r="I68" s="56">
        <v>0</v>
      </c>
      <c r="J68" s="56">
        <v>0</v>
      </c>
      <c r="K68" s="56"/>
      <c r="L68" s="56"/>
      <c r="M68" s="56"/>
      <c r="N68" s="56"/>
      <c r="O68" s="56">
        <v>0</v>
      </c>
      <c r="P68" s="56">
        <v>0</v>
      </c>
      <c r="Q68" s="56">
        <v>0</v>
      </c>
    </row>
    <row r="69" spans="1:19" ht="12.75">
      <c r="A69" s="61"/>
      <c r="C69" s="52"/>
      <c r="D69" s="56"/>
      <c r="E69" s="56"/>
      <c r="F69" s="62"/>
      <c r="G69" s="64"/>
      <c r="H69" s="56"/>
      <c r="I69" s="56"/>
      <c r="J69" s="56"/>
      <c r="K69" s="56"/>
      <c r="L69" s="56"/>
      <c r="M69" s="85">
        <f>SUM(M64:M68)</f>
        <v>13079637.370000001</v>
      </c>
      <c r="N69" s="85">
        <f>SUM(N64:N68)</f>
        <v>11526232.35</v>
      </c>
      <c r="O69" s="85">
        <f>SUM(O64:O68)</f>
        <v>12759676.9</v>
      </c>
      <c r="P69" s="85">
        <f>SUM(P64:P68)</f>
        <v>13130106</v>
      </c>
      <c r="Q69" s="85">
        <f>SUM(Q64:Q68)</f>
        <v>13240000</v>
      </c>
      <c r="R69" s="44">
        <f>SUM(O64:O68)</f>
        <v>12759676.9</v>
      </c>
      <c r="S69" s="44">
        <f>SUM(M64:M68)</f>
        <v>13079637.370000001</v>
      </c>
    </row>
    <row r="70" spans="1:17" ht="12.75">
      <c r="A70" s="48">
        <v>52236130</v>
      </c>
      <c r="C70" s="52" t="s">
        <v>103</v>
      </c>
      <c r="D70" s="56">
        <v>118315.68</v>
      </c>
      <c r="E70" s="56">
        <v>112665.77</v>
      </c>
      <c r="F70" s="56">
        <v>225075.63</v>
      </c>
      <c r="G70" s="65">
        <v>158304.29</v>
      </c>
      <c r="H70" s="56">
        <v>51902.94</v>
      </c>
      <c r="I70" s="56">
        <v>40088.24</v>
      </c>
      <c r="J70" s="56">
        <v>60319.4</v>
      </c>
      <c r="K70" s="56">
        <v>62893.54</v>
      </c>
      <c r="L70" s="56">
        <v>77431</v>
      </c>
      <c r="M70" s="56">
        <v>67707.6</v>
      </c>
      <c r="N70" s="56">
        <v>51598.45</v>
      </c>
      <c r="O70" s="56">
        <v>72000</v>
      </c>
      <c r="P70" s="56">
        <v>72000</v>
      </c>
      <c r="Q70" s="56">
        <v>72000</v>
      </c>
    </row>
    <row r="71" spans="1:17" ht="12.75">
      <c r="A71" s="48">
        <v>52236140</v>
      </c>
      <c r="C71" s="52" t="s">
        <v>104</v>
      </c>
      <c r="D71" s="56">
        <v>46695.66</v>
      </c>
      <c r="E71" s="56">
        <v>191533.52</v>
      </c>
      <c r="F71" s="56">
        <v>7660.84</v>
      </c>
      <c r="G71" s="65">
        <v>5362.3</v>
      </c>
      <c r="H71" s="56">
        <v>12870.41</v>
      </c>
      <c r="I71" s="56">
        <v>9992.34</v>
      </c>
      <c r="J71" s="56">
        <v>13297.9</v>
      </c>
      <c r="K71" s="56">
        <v>6085.7</v>
      </c>
      <c r="L71" s="56">
        <v>8225</v>
      </c>
      <c r="M71" s="56">
        <v>19216.53</v>
      </c>
      <c r="N71" s="56">
        <v>16560.75</v>
      </c>
      <c r="O71" s="56">
        <v>22500</v>
      </c>
      <c r="P71" s="56">
        <v>22500</v>
      </c>
      <c r="Q71" s="56">
        <v>22500</v>
      </c>
    </row>
    <row r="72" spans="13:19" ht="12.75">
      <c r="M72" s="45">
        <f>SUM(M70:M71)</f>
        <v>86924.13</v>
      </c>
      <c r="N72" s="45">
        <f>SUM(N70:N71)</f>
        <v>68159.2</v>
      </c>
      <c r="O72" s="45">
        <f>SUM(O70:O71)</f>
        <v>94500</v>
      </c>
      <c r="P72" s="45">
        <f>SUM(P70:P71)</f>
        <v>94500</v>
      </c>
      <c r="Q72" s="45">
        <f>SUM(Q70:Q71)</f>
        <v>94500</v>
      </c>
      <c r="R72" s="44">
        <f>SUM(O70:O71)</f>
        <v>94500</v>
      </c>
      <c r="S72" s="44">
        <f>SUM(M70:M71)</f>
        <v>86924.13</v>
      </c>
    </row>
    <row r="73" spans="1:17" ht="12.75">
      <c r="A73" s="50" t="s">
        <v>36</v>
      </c>
      <c r="B73" s="51" t="s">
        <v>36</v>
      </c>
      <c r="C73" s="51" t="s">
        <v>36</v>
      </c>
      <c r="D73" s="55" t="s">
        <v>36</v>
      </c>
      <c r="E73" s="55" t="s">
        <v>36</v>
      </c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</row>
    <row r="74" spans="1:17" ht="12.75">
      <c r="A74" s="48" t="s">
        <v>105</v>
      </c>
      <c r="D74" s="56">
        <f aca="true" t="shared" si="2" ref="D74:I74">SUM(D44:D71)</f>
        <v>2894200.1700000004</v>
      </c>
      <c r="E74" s="56">
        <f t="shared" si="2"/>
        <v>3094100.23</v>
      </c>
      <c r="F74" s="56">
        <f t="shared" si="2"/>
        <v>9609530.930000002</v>
      </c>
      <c r="G74" s="56">
        <f t="shared" si="2"/>
        <v>10756395.25</v>
      </c>
      <c r="H74" s="56">
        <f t="shared" si="2"/>
        <v>11619783.9</v>
      </c>
      <c r="I74" s="56">
        <f t="shared" si="2"/>
        <v>10861115.01</v>
      </c>
      <c r="J74" s="56">
        <f>SUM(J43:J71)</f>
        <v>12287553.830000002</v>
      </c>
      <c r="K74" s="56">
        <f>SUM(K43:K71)</f>
        <v>12051346.769999998</v>
      </c>
      <c r="L74" s="56">
        <f>SUM(L43:L71)</f>
        <v>11958579</v>
      </c>
      <c r="M74" s="56">
        <f>M56+M62+M69+M72</f>
        <v>14386503.660000002</v>
      </c>
      <c r="N74" s="56">
        <f>N56+N62+N69+N72</f>
        <v>13031185.28</v>
      </c>
      <c r="O74" s="56">
        <f>O56+O62+O69+O72</f>
        <v>13851476.9</v>
      </c>
      <c r="P74" s="56">
        <f>P56+P62+P69+P72</f>
        <v>14030000.53</v>
      </c>
      <c r="Q74" s="56">
        <f>Q56+Q62+Q69+Q72</f>
        <v>14160300</v>
      </c>
    </row>
    <row r="76" ht="12.75">
      <c r="D76" s="56"/>
    </row>
    <row r="77" spans="1:4" ht="12.75">
      <c r="A77" s="48" t="s">
        <v>107</v>
      </c>
      <c r="D77" s="56"/>
    </row>
    <row r="78" ht="12.75">
      <c r="D78" s="56"/>
    </row>
    <row r="79" spans="1:4" ht="12.75">
      <c r="A79" s="48" t="s">
        <v>33</v>
      </c>
      <c r="D79" s="56"/>
    </row>
    <row r="80" spans="1:4" ht="12.75">
      <c r="A80" s="48" t="s">
        <v>108</v>
      </c>
      <c r="D80" s="56"/>
    </row>
    <row r="81" ht="12.75">
      <c r="D81" s="56"/>
    </row>
    <row r="82" ht="12.75">
      <c r="A82" s="48" t="s">
        <v>35</v>
      </c>
    </row>
    <row r="83" spans="1:3" ht="12.75">
      <c r="A83" s="50" t="s">
        <v>36</v>
      </c>
      <c r="B83" s="51" t="s">
        <v>36</v>
      </c>
      <c r="C83" s="52" t="s">
        <v>37</v>
      </c>
    </row>
    <row r="84" spans="4:17" ht="12.75">
      <c r="D84" s="44" t="s">
        <v>38</v>
      </c>
      <c r="E84" s="44" t="s">
        <v>39</v>
      </c>
      <c r="F84" s="44" t="s">
        <v>40</v>
      </c>
      <c r="G84" s="44" t="s">
        <v>41</v>
      </c>
      <c r="H84" s="44" t="s">
        <v>42</v>
      </c>
      <c r="I84" s="44" t="s">
        <v>43</v>
      </c>
      <c r="J84" s="44" t="s">
        <v>44</v>
      </c>
      <c r="K84" s="44" t="s">
        <v>45</v>
      </c>
      <c r="L84" s="44" t="s">
        <v>46</v>
      </c>
      <c r="M84" s="44" t="s">
        <v>47</v>
      </c>
      <c r="N84" s="44" t="s">
        <v>48</v>
      </c>
      <c r="O84" s="44" t="s">
        <v>125</v>
      </c>
      <c r="P84" s="44" t="s">
        <v>125</v>
      </c>
      <c r="Q84" s="44" t="s">
        <v>132</v>
      </c>
    </row>
    <row r="85" spans="1:17" ht="12.75">
      <c r="A85" s="48" t="s">
        <v>49</v>
      </c>
      <c r="C85" s="53" t="s">
        <v>50</v>
      </c>
      <c r="D85" s="44" t="s">
        <v>51</v>
      </c>
      <c r="E85" s="44" t="s">
        <v>51</v>
      </c>
      <c r="F85" s="44" t="s">
        <v>51</v>
      </c>
      <c r="G85" s="44" t="s">
        <v>51</v>
      </c>
      <c r="H85" s="44" t="s">
        <v>52</v>
      </c>
      <c r="I85" s="44" t="s">
        <v>52</v>
      </c>
      <c r="J85" s="44" t="s">
        <v>52</v>
      </c>
      <c r="K85" s="44" t="s">
        <v>52</v>
      </c>
      <c r="L85" s="44" t="s">
        <v>52</v>
      </c>
      <c r="M85" s="44" t="s">
        <v>52</v>
      </c>
      <c r="N85" s="44" t="s">
        <v>51</v>
      </c>
      <c r="O85" s="44" t="s">
        <v>53</v>
      </c>
      <c r="P85" s="44" t="s">
        <v>133</v>
      </c>
      <c r="Q85" s="44" t="s">
        <v>124</v>
      </c>
    </row>
    <row r="86" spans="1:17" ht="9.75" customHeight="1">
      <c r="A86" s="50" t="s">
        <v>36</v>
      </c>
      <c r="C86" s="51" t="s">
        <v>36</v>
      </c>
      <c r="D86" s="55" t="s">
        <v>36</v>
      </c>
      <c r="E86" s="55" t="s">
        <v>36</v>
      </c>
      <c r="F86" s="55" t="s">
        <v>36</v>
      </c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</row>
    <row r="87" spans="1:17" ht="12.75" hidden="1">
      <c r="A87" s="48" t="s">
        <v>54</v>
      </c>
      <c r="C87" s="52" t="s">
        <v>55</v>
      </c>
      <c r="D87" s="56">
        <v>0</v>
      </c>
      <c r="E87" s="56">
        <v>0</v>
      </c>
      <c r="F87" s="56">
        <v>0</v>
      </c>
      <c r="G87" s="56">
        <v>0</v>
      </c>
      <c r="H87" s="56"/>
      <c r="I87" s="56"/>
      <c r="J87" s="56"/>
      <c r="K87" s="56"/>
      <c r="L87" s="56"/>
      <c r="M87" s="56"/>
      <c r="N87" s="56"/>
      <c r="O87" s="56"/>
      <c r="P87" s="56"/>
      <c r="Q87" s="56"/>
    </row>
    <row r="88" spans="1:6" ht="12.75" hidden="1">
      <c r="A88" s="27">
        <v>4400170</v>
      </c>
      <c r="C88" t="s">
        <v>109</v>
      </c>
      <c r="D88" s="44">
        <v>13395.88</v>
      </c>
      <c r="E88" s="44">
        <v>96872.23</v>
      </c>
      <c r="F88" s="62">
        <v>116914.51</v>
      </c>
    </row>
    <row r="89" spans="1:6" ht="12.75" hidden="1">
      <c r="A89" s="27">
        <v>4400171</v>
      </c>
      <c r="C89" t="s">
        <v>110</v>
      </c>
      <c r="D89" s="44">
        <v>50832.67</v>
      </c>
      <c r="E89" s="44">
        <v>0</v>
      </c>
      <c r="F89" s="44">
        <v>0</v>
      </c>
    </row>
    <row r="90" spans="1:17" ht="12.75" hidden="1">
      <c r="A90" s="50" t="s">
        <v>36</v>
      </c>
      <c r="B90" s="51" t="s">
        <v>36</v>
      </c>
      <c r="C90" s="51" t="s">
        <v>36</v>
      </c>
      <c r="D90" s="55" t="s">
        <v>36</v>
      </c>
      <c r="E90" s="55" t="s">
        <v>36</v>
      </c>
      <c r="F90" s="55" t="s">
        <v>36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</row>
    <row r="91" spans="1:17" ht="12.75" hidden="1">
      <c r="A91" s="48" t="s">
        <v>56</v>
      </c>
      <c r="D91" s="56">
        <f>SUM(D87:D90)</f>
        <v>64228.549999999996</v>
      </c>
      <c r="E91" s="56">
        <f>SUM(E87:E90)</f>
        <v>96872.23</v>
      </c>
      <c r="F91" s="56">
        <f>SUM(F87:F90)</f>
        <v>116914.51</v>
      </c>
      <c r="G91" s="56">
        <f>SUM(G87:G90)</f>
        <v>0</v>
      </c>
      <c r="H91" s="56"/>
      <c r="I91" s="56"/>
      <c r="J91" s="56"/>
      <c r="K91" s="56"/>
      <c r="L91" s="56"/>
      <c r="M91" s="56"/>
      <c r="N91" s="56"/>
      <c r="O91" s="56"/>
      <c r="P91" s="56"/>
      <c r="Q91" s="56"/>
    </row>
    <row r="92" spans="4:17" ht="12.75"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1:17" ht="12.75">
      <c r="A93" s="48">
        <v>4609130</v>
      </c>
      <c r="C93" s="52" t="s">
        <v>58</v>
      </c>
      <c r="D93" s="56">
        <v>455000</v>
      </c>
      <c r="E93" s="56">
        <v>1052766.68</v>
      </c>
      <c r="F93" s="60">
        <v>1268741.68</v>
      </c>
      <c r="G93" s="56">
        <v>455341.2</v>
      </c>
      <c r="H93" s="56">
        <v>1278090.92</v>
      </c>
      <c r="I93" s="56">
        <v>1276781</v>
      </c>
      <c r="J93" s="56">
        <v>1285035</v>
      </c>
      <c r="K93" s="56">
        <v>1285035</v>
      </c>
      <c r="L93" s="56">
        <v>1284035</v>
      </c>
      <c r="M93" s="56">
        <f>M116</f>
        <v>1275409.5</v>
      </c>
      <c r="N93" s="56">
        <f>N116</f>
        <v>1285659.5</v>
      </c>
      <c r="O93" s="56">
        <f>O116</f>
        <v>1284175</v>
      </c>
      <c r="P93" s="56">
        <f>P116</f>
        <v>1209134</v>
      </c>
      <c r="Q93" s="56">
        <f>Q116</f>
        <v>1083430</v>
      </c>
    </row>
    <row r="94" spans="1:17" ht="12.75">
      <c r="A94" s="48">
        <v>4850170</v>
      </c>
      <c r="C94" s="52" t="s">
        <v>111</v>
      </c>
      <c r="D94" s="56">
        <v>91359.06</v>
      </c>
      <c r="E94" s="56">
        <v>0</v>
      </c>
      <c r="F94" s="65">
        <v>0</v>
      </c>
      <c r="G94" s="56">
        <v>0</v>
      </c>
      <c r="H94" s="56"/>
      <c r="I94" s="56"/>
      <c r="J94" s="56"/>
      <c r="K94" s="56"/>
      <c r="L94" s="56"/>
      <c r="M94" s="56"/>
      <c r="N94" s="56"/>
      <c r="O94" s="56"/>
      <c r="P94" s="56"/>
      <c r="Q94" s="56"/>
    </row>
    <row r="95" spans="1:17" ht="12.75">
      <c r="A95" s="50" t="s">
        <v>36</v>
      </c>
      <c r="B95" s="51" t="s">
        <v>36</v>
      </c>
      <c r="C95" s="51" t="s">
        <v>36</v>
      </c>
      <c r="D95" s="55" t="s">
        <v>36</v>
      </c>
      <c r="E95" s="55" t="s">
        <v>36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</row>
    <row r="96" spans="1:17" ht="12.75">
      <c r="A96" s="48" t="s">
        <v>66</v>
      </c>
      <c r="D96" s="56">
        <f>SUM(D93:D94)</f>
        <v>546359.06</v>
      </c>
      <c r="E96" s="56">
        <f>SUM(E93:E94)</f>
        <v>1052766.68</v>
      </c>
      <c r="F96" s="62">
        <f>SUM(F93:F94)</f>
        <v>1268741.68</v>
      </c>
      <c r="G96" s="56">
        <f aca="true" t="shared" si="3" ref="G96:N96">SUM(G93:G95)</f>
        <v>455341.2</v>
      </c>
      <c r="H96" s="56">
        <f t="shared" si="3"/>
        <v>1278090.92</v>
      </c>
      <c r="I96" s="56">
        <f t="shared" si="3"/>
        <v>1276781</v>
      </c>
      <c r="J96" s="56">
        <f t="shared" si="3"/>
        <v>1285035</v>
      </c>
      <c r="K96" s="56">
        <f t="shared" si="3"/>
        <v>1285035</v>
      </c>
      <c r="L96" s="56">
        <f t="shared" si="3"/>
        <v>1284035</v>
      </c>
      <c r="M96" s="56">
        <f t="shared" si="3"/>
        <v>1275409.5</v>
      </c>
      <c r="N96" s="56">
        <f t="shared" si="3"/>
        <v>1285659.5</v>
      </c>
      <c r="O96" s="56">
        <f>SUM(O93:O95)</f>
        <v>1284175</v>
      </c>
      <c r="P96" s="56">
        <f>SUM(P93:P95)</f>
        <v>1209134</v>
      </c>
      <c r="Q96" s="56">
        <f>SUM(Q93:Q95)</f>
        <v>1083430</v>
      </c>
    </row>
    <row r="97" spans="4:17" ht="12.75">
      <c r="D97" s="56"/>
      <c r="E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</row>
    <row r="98" spans="1:17" ht="12.75">
      <c r="A98" s="50" t="s">
        <v>67</v>
      </c>
      <c r="B98" s="51" t="s">
        <v>67</v>
      </c>
      <c r="C98" s="51" t="s">
        <v>67</v>
      </c>
      <c r="D98" s="55" t="s">
        <v>67</v>
      </c>
      <c r="E98" s="55" t="s">
        <v>67</v>
      </c>
      <c r="F98" s="55" t="s">
        <v>67</v>
      </c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48" t="s">
        <v>68</v>
      </c>
      <c r="D99" s="56">
        <f aca="true" t="shared" si="4" ref="D99:J99">D91+D96</f>
        <v>610587.6100000001</v>
      </c>
      <c r="E99" s="56">
        <f t="shared" si="4"/>
        <v>1149638.91</v>
      </c>
      <c r="F99" s="56">
        <f t="shared" si="4"/>
        <v>1385656.19</v>
      </c>
      <c r="G99" s="56">
        <f t="shared" si="4"/>
        <v>455341.2</v>
      </c>
      <c r="H99" s="56">
        <f t="shared" si="4"/>
        <v>1278090.92</v>
      </c>
      <c r="I99" s="56">
        <f t="shared" si="4"/>
        <v>1276781</v>
      </c>
      <c r="J99" s="56">
        <f t="shared" si="4"/>
        <v>1285035</v>
      </c>
      <c r="K99" s="56">
        <f aca="true" t="shared" si="5" ref="K99:P99">K91+K96</f>
        <v>1285035</v>
      </c>
      <c r="L99" s="56">
        <f t="shared" si="5"/>
        <v>1284035</v>
      </c>
      <c r="M99" s="56">
        <f t="shared" si="5"/>
        <v>1275409.5</v>
      </c>
      <c r="N99" s="56">
        <f t="shared" si="5"/>
        <v>1285659.5</v>
      </c>
      <c r="O99" s="56">
        <f t="shared" si="5"/>
        <v>1284175</v>
      </c>
      <c r="P99" s="56">
        <f t="shared" si="5"/>
        <v>1209134</v>
      </c>
      <c r="Q99" s="56">
        <f>Q91+Q96</f>
        <v>1083430</v>
      </c>
    </row>
    <row r="100" spans="1:17" ht="12.75">
      <c r="A100" s="50" t="s">
        <v>67</v>
      </c>
      <c r="B100" s="51" t="s">
        <v>67</v>
      </c>
      <c r="C100" s="51" t="s">
        <v>67</v>
      </c>
      <c r="D100" s="55" t="s">
        <v>67</v>
      </c>
      <c r="E100" s="55" t="s">
        <v>67</v>
      </c>
      <c r="F100" s="55" t="s">
        <v>67</v>
      </c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ht="12.75">
      <c r="D101" s="56"/>
    </row>
    <row r="102" spans="1:4" ht="12.75">
      <c r="A102" s="48" t="s">
        <v>112</v>
      </c>
      <c r="D102" s="56"/>
    </row>
    <row r="103" spans="1:4" ht="12.75">
      <c r="A103" s="50" t="s">
        <v>36</v>
      </c>
      <c r="B103" s="51" t="s">
        <v>36</v>
      </c>
      <c r="C103" s="51" t="s">
        <v>36</v>
      </c>
      <c r="D103" s="56"/>
    </row>
    <row r="104" spans="4:17" ht="12.75">
      <c r="D104" s="44" t="s">
        <v>38</v>
      </c>
      <c r="E104" s="44" t="s">
        <v>39</v>
      </c>
      <c r="F104" s="44" t="s">
        <v>40</v>
      </c>
      <c r="G104" s="44" t="s">
        <v>41</v>
      </c>
      <c r="H104" s="44" t="s">
        <v>42</v>
      </c>
      <c r="I104" s="44" t="s">
        <v>43</v>
      </c>
      <c r="J104" s="44" t="s">
        <v>44</v>
      </c>
      <c r="K104" s="44" t="s">
        <v>45</v>
      </c>
      <c r="L104" s="44" t="s">
        <v>46</v>
      </c>
      <c r="M104" s="44" t="s">
        <v>47</v>
      </c>
      <c r="N104" s="44" t="s">
        <v>48</v>
      </c>
      <c r="O104" s="44" t="s">
        <v>125</v>
      </c>
      <c r="P104" s="44" t="s">
        <v>125</v>
      </c>
      <c r="Q104" s="44" t="s">
        <v>132</v>
      </c>
    </row>
    <row r="105" spans="1:17" ht="12.75">
      <c r="A105" s="48" t="s">
        <v>49</v>
      </c>
      <c r="C105" s="53" t="s">
        <v>50</v>
      </c>
      <c r="D105" s="44" t="s">
        <v>51</v>
      </c>
      <c r="E105" s="44" t="s">
        <v>51</v>
      </c>
      <c r="F105" s="44" t="s">
        <v>51</v>
      </c>
      <c r="G105" s="44" t="s">
        <v>51</v>
      </c>
      <c r="H105" s="44" t="s">
        <v>52</v>
      </c>
      <c r="I105" s="44" t="s">
        <v>52</v>
      </c>
      <c r="J105" s="44" t="s">
        <v>52</v>
      </c>
      <c r="K105" s="44" t="s">
        <v>52</v>
      </c>
      <c r="L105" s="44" t="s">
        <v>52</v>
      </c>
      <c r="M105" s="44" t="s">
        <v>52</v>
      </c>
      <c r="N105" s="44" t="s">
        <v>51</v>
      </c>
      <c r="O105" s="44" t="s">
        <v>53</v>
      </c>
      <c r="P105" s="44" t="s">
        <v>133</v>
      </c>
      <c r="Q105" s="44" t="s">
        <v>124</v>
      </c>
    </row>
    <row r="106" spans="1:17" ht="12.75">
      <c r="A106" s="50" t="s">
        <v>36</v>
      </c>
      <c r="C106" s="51" t="s">
        <v>36</v>
      </c>
      <c r="D106" s="55" t="s">
        <v>36</v>
      </c>
      <c r="E106" s="55" t="s">
        <v>36</v>
      </c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48" t="s">
        <v>113</v>
      </c>
      <c r="C107" s="52" t="s">
        <v>114</v>
      </c>
      <c r="D107" s="56">
        <v>105000</v>
      </c>
      <c r="E107" s="56">
        <v>418333.36</v>
      </c>
      <c r="F107" s="56">
        <v>421666.64</v>
      </c>
      <c r="G107" s="56">
        <v>151249.99</v>
      </c>
      <c r="H107" s="56">
        <v>466666.64</v>
      </c>
      <c r="I107" s="56">
        <v>490000</v>
      </c>
      <c r="J107" s="56">
        <v>516249</v>
      </c>
      <c r="K107" s="56">
        <v>543749.97</v>
      </c>
      <c r="L107" s="56">
        <v>570000</v>
      </c>
      <c r="M107" s="56">
        <v>600000</v>
      </c>
      <c r="N107" s="56">
        <v>640000</v>
      </c>
      <c r="O107" s="56">
        <v>640000</v>
      </c>
      <c r="P107" s="56">
        <v>826666.66</v>
      </c>
      <c r="Q107" s="56">
        <v>691666.68</v>
      </c>
    </row>
    <row r="108" spans="1:17" ht="12.75">
      <c r="A108" s="48" t="s">
        <v>115</v>
      </c>
      <c r="C108" s="52" t="s">
        <v>116</v>
      </c>
      <c r="D108" s="56">
        <v>0</v>
      </c>
      <c r="E108" s="56">
        <v>284433.36</v>
      </c>
      <c r="F108" s="56">
        <v>847075.04</v>
      </c>
      <c r="G108" s="56">
        <v>285725.09</v>
      </c>
      <c r="H108" s="56">
        <v>804901.72</v>
      </c>
      <c r="I108" s="56">
        <v>780315</v>
      </c>
      <c r="J108" s="56">
        <v>755895</v>
      </c>
      <c r="K108" s="56">
        <v>726450</v>
      </c>
      <c r="L108" s="56">
        <v>702375</v>
      </c>
      <c r="M108" s="56">
        <v>668175</v>
      </c>
      <c r="N108" s="56">
        <v>632175</v>
      </c>
      <c r="O108" s="56">
        <v>632175</v>
      </c>
      <c r="P108" s="56">
        <v>370467.34</v>
      </c>
      <c r="Q108" s="56">
        <v>379763.32</v>
      </c>
    </row>
    <row r="109" spans="1:17" ht="12.75">
      <c r="A109" s="48" t="s">
        <v>117</v>
      </c>
      <c r="C109" s="52" t="s">
        <v>118</v>
      </c>
      <c r="D109" s="56">
        <v>1000</v>
      </c>
      <c r="E109" s="56">
        <v>18113.97</v>
      </c>
      <c r="F109" s="56">
        <v>7355.82</v>
      </c>
      <c r="G109" s="56">
        <v>18366.12</v>
      </c>
      <c r="H109" s="56">
        <v>6522.56</v>
      </c>
      <c r="I109" s="56">
        <v>6466</v>
      </c>
      <c r="J109" s="56">
        <v>7234.5</v>
      </c>
      <c r="K109" s="56">
        <v>5962.5</v>
      </c>
      <c r="L109" s="56">
        <v>13984.5</v>
      </c>
      <c r="M109" s="56">
        <v>7234.5</v>
      </c>
      <c r="N109" s="56">
        <v>13484.5</v>
      </c>
      <c r="O109" s="56">
        <v>12000</v>
      </c>
      <c r="P109" s="56">
        <v>12000</v>
      </c>
      <c r="Q109" s="56">
        <v>12000</v>
      </c>
    </row>
    <row r="110" spans="1:17" ht="12.75">
      <c r="A110" s="48" t="s">
        <v>119</v>
      </c>
      <c r="C110" s="52" t="s">
        <v>120</v>
      </c>
      <c r="D110" s="56">
        <v>397699.65</v>
      </c>
      <c r="E110" s="56">
        <v>0</v>
      </c>
      <c r="F110" s="56">
        <v>0</v>
      </c>
      <c r="G110" s="56">
        <v>0</v>
      </c>
      <c r="H110" s="56"/>
      <c r="I110" s="56"/>
      <c r="J110" s="56"/>
      <c r="K110" s="56"/>
      <c r="L110" s="56"/>
      <c r="M110" s="56"/>
      <c r="N110" s="56"/>
      <c r="O110" s="56"/>
      <c r="P110" s="56"/>
      <c r="Q110" s="56"/>
    </row>
    <row r="111" spans="1:17" ht="12.75">
      <c r="A111" s="66">
        <v>5801300</v>
      </c>
      <c r="C111" s="52" t="s">
        <v>121</v>
      </c>
      <c r="D111" s="56">
        <v>350000</v>
      </c>
      <c r="E111" s="56">
        <v>350000</v>
      </c>
      <c r="F111" s="56">
        <v>0</v>
      </c>
      <c r="G111" s="56">
        <v>0</v>
      </c>
      <c r="H111" s="56"/>
      <c r="I111" s="56"/>
      <c r="J111" s="56"/>
      <c r="K111" s="56"/>
      <c r="L111" s="56"/>
      <c r="M111" s="56"/>
      <c r="N111" s="56"/>
      <c r="O111" s="56"/>
      <c r="P111" s="56"/>
      <c r="Q111" s="56"/>
    </row>
    <row r="112" spans="1:17" ht="12.75">
      <c r="A112" s="50" t="s">
        <v>36</v>
      </c>
      <c r="B112" s="51" t="s">
        <v>36</v>
      </c>
      <c r="C112" s="51" t="s">
        <v>36</v>
      </c>
      <c r="D112" s="55" t="s">
        <v>36</v>
      </c>
      <c r="E112" s="55" t="s">
        <v>36</v>
      </c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48" t="s">
        <v>122</v>
      </c>
      <c r="D113" s="56">
        <f>SUM(D107:D111)</f>
        <v>853699.65</v>
      </c>
      <c r="E113" s="56">
        <f>SUM(E107:E111)</f>
        <v>1070880.69</v>
      </c>
      <c r="F113" s="56">
        <f>SUM(F107:F111)</f>
        <v>1276097.5000000002</v>
      </c>
      <c r="G113" s="56">
        <f aca="true" t="shared" si="6" ref="G113:N113">SUM(G107:G112)</f>
        <v>455341.2</v>
      </c>
      <c r="H113" s="56">
        <f t="shared" si="6"/>
        <v>1278090.92</v>
      </c>
      <c r="I113" s="56">
        <f t="shared" si="6"/>
        <v>1276781</v>
      </c>
      <c r="J113" s="56">
        <f t="shared" si="6"/>
        <v>1279378.5</v>
      </c>
      <c r="K113" s="56">
        <f t="shared" si="6"/>
        <v>1276162.47</v>
      </c>
      <c r="L113" s="56">
        <f t="shared" si="6"/>
        <v>1286359.5</v>
      </c>
      <c r="M113" s="56">
        <f t="shared" si="6"/>
        <v>1275409.5</v>
      </c>
      <c r="N113" s="56">
        <f t="shared" si="6"/>
        <v>1285659.5</v>
      </c>
      <c r="O113" s="56">
        <f>SUM(O107:O112)</f>
        <v>1284175</v>
      </c>
      <c r="P113" s="56">
        <f>SUM(P107:P112)</f>
        <v>1209134</v>
      </c>
      <c r="Q113" s="56">
        <f>SUM(Q107:Q112)</f>
        <v>1083430</v>
      </c>
    </row>
    <row r="114" spans="4:17" ht="12.75"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</row>
    <row r="115" spans="1:17" ht="12.75">
      <c r="A115" s="50" t="s">
        <v>67</v>
      </c>
      <c r="B115" s="51" t="s">
        <v>67</v>
      </c>
      <c r="C115" s="51" t="s">
        <v>67</v>
      </c>
      <c r="D115" s="55" t="s">
        <v>67</v>
      </c>
      <c r="E115" s="55" t="s">
        <v>67</v>
      </c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48" t="s">
        <v>106</v>
      </c>
      <c r="D116" s="56">
        <f aca="true" t="shared" si="7" ref="D116:J116">D113</f>
        <v>853699.65</v>
      </c>
      <c r="E116" s="56">
        <f t="shared" si="7"/>
        <v>1070880.69</v>
      </c>
      <c r="F116" s="56">
        <f t="shared" si="7"/>
        <v>1276097.5000000002</v>
      </c>
      <c r="G116" s="56">
        <f t="shared" si="7"/>
        <v>455341.2</v>
      </c>
      <c r="H116" s="56">
        <f t="shared" si="7"/>
        <v>1278090.92</v>
      </c>
      <c r="I116" s="56">
        <f t="shared" si="7"/>
        <v>1276781</v>
      </c>
      <c r="J116" s="56">
        <f t="shared" si="7"/>
        <v>1279378.5</v>
      </c>
      <c r="K116" s="56">
        <f aca="true" t="shared" si="8" ref="K116:P116">K113</f>
        <v>1276162.47</v>
      </c>
      <c r="L116" s="56">
        <f t="shared" si="8"/>
        <v>1286359.5</v>
      </c>
      <c r="M116" s="56">
        <f t="shared" si="8"/>
        <v>1275409.5</v>
      </c>
      <c r="N116" s="56">
        <f t="shared" si="8"/>
        <v>1285659.5</v>
      </c>
      <c r="O116" s="56">
        <f t="shared" si="8"/>
        <v>1284175</v>
      </c>
      <c r="P116" s="56">
        <f t="shared" si="8"/>
        <v>1209134</v>
      </c>
      <c r="Q116" s="56">
        <f>Q113</f>
        <v>1083430</v>
      </c>
    </row>
    <row r="117" spans="1:17" ht="12.75">
      <c r="A117" s="50" t="s">
        <v>67</v>
      </c>
      <c r="B117" s="51" t="s">
        <v>67</v>
      </c>
      <c r="C117" s="51" t="s">
        <v>67</v>
      </c>
      <c r="D117" s="55" t="s">
        <v>67</v>
      </c>
      <c r="E117" s="55" t="s">
        <v>67</v>
      </c>
      <c r="F117" s="55" t="s">
        <v>67</v>
      </c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4:17" ht="12.75"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</row>
  </sheetData>
  <printOptions/>
  <pageMargins left="0.75" right="0.75" top="1" bottom="1" header="0.5" footer="0.5"/>
  <pageSetup horizontalDpi="300" verticalDpi="300" orientation="landscape" scale="89" r:id="rId3"/>
  <rowBreaks count="3" manualBreakCount="3">
    <brk id="31" max="255" man="1"/>
    <brk id="76" max="255" man="1"/>
    <brk id="103" max="255" man="1"/>
  </rowBreaks>
  <colBreaks count="1" manualBreakCount="1">
    <brk id="1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tcave</dc:creator>
  <cp:keywords/>
  <dc:description/>
  <cp:lastModifiedBy>jpahl</cp:lastModifiedBy>
  <cp:lastPrinted>2005-04-04T18:45:02Z</cp:lastPrinted>
  <dcterms:created xsi:type="dcterms:W3CDTF">2003-01-27T17:50:54Z</dcterms:created>
  <dcterms:modified xsi:type="dcterms:W3CDTF">2005-04-05T04:23:50Z</dcterms:modified>
  <cp:category/>
  <cp:version/>
  <cp:contentType/>
  <cp:contentStatus/>
</cp:coreProperties>
</file>