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CIP" sheetId="1" r:id="rId1"/>
    <sheet name="Sheet1" sheetId="2" r:id="rId2"/>
    <sheet name="Summary" sheetId="3" r:id="rId3"/>
    <sheet name="V expenses" sheetId="4" r:id="rId4"/>
    <sheet name="Detail Exp" sheetId="5" r:id="rId5"/>
    <sheet name="revenue" sheetId="6" r:id="rId6"/>
  </sheets>
  <definedNames/>
  <calcPr fullCalcOnLoad="1"/>
</workbook>
</file>

<file path=xl/comments3.xml><?xml version="1.0" encoding="utf-8"?>
<comments xmlns="http://schemas.openxmlformats.org/spreadsheetml/2006/main">
  <authors>
    <author>Napa County</author>
  </authors>
  <commentList>
    <comment ref="C2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 mos @ 101121
4 months @ 101884
Or $1,216,504</t>
        </r>
      </text>
    </comment>
    <comment ref="C3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Includes last yr carry over</t>
        </r>
      </text>
    </comment>
    <comment ref="D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5% reduction to to decrease gas supply
</t>
        </r>
      </text>
    </comment>
    <comment ref="C3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Landfil Power</t>
        </r>
      </text>
    </comment>
    <comment ref="F3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ACSL Leeve Repair</t>
        </r>
      </text>
    </comment>
    <comment ref="F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First year of five year option</t>
        </r>
      </text>
    </comment>
    <comment ref="D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 +3% by contract</t>
        </r>
      </text>
    </comment>
    <comment ref="D1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Transportation cost
Household Hazardous Waste Facillity</t>
        </r>
      </text>
    </comment>
  </commentList>
</comments>
</file>

<file path=xl/comments5.xml><?xml version="1.0" encoding="utf-8"?>
<comments xmlns="http://schemas.openxmlformats.org/spreadsheetml/2006/main">
  <authors>
    <author>Napa County</author>
  </authors>
  <commentList>
    <comment ref="D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4ly Audits 36K
DEM 40K
CoCo
Colections  14.4k
Outside Audit 10K
Acct services 12K
Reduced DEM by A staffing
</t>
        </r>
      </text>
    </comment>
    <comment ref="D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State Increasing fees plus MT permits
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State Increasing fees plus MT permits
</t>
        </r>
      </text>
    </comment>
    <comment ref="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4ly Audits 36K
DEM 40K
CoCo
Colections  14.4k
Outside Audit 10K
Acct services 12K
Reduced DEM by A staffing
</t>
        </r>
      </text>
    </comment>
    <comment ref="F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Audit comes out of line item but $ in Adm 10k
</t>
        </r>
      </text>
    </comment>
  </commentList>
</comments>
</file>

<file path=xl/sharedStrings.xml><?xml version="1.0" encoding="utf-8"?>
<sst xmlns="http://schemas.openxmlformats.org/spreadsheetml/2006/main" count="155" uniqueCount="116">
  <si>
    <t>Operating Revenues</t>
  </si>
  <si>
    <t>Budget</t>
  </si>
  <si>
    <t>Estimate</t>
  </si>
  <si>
    <t>Final Budget</t>
  </si>
  <si>
    <t xml:space="preserve">  Transfer Station Tipping Fees</t>
  </si>
  <si>
    <t xml:space="preserve">  Gas Collection System Revenue</t>
  </si>
  <si>
    <t xml:space="preserve">  Interest Income on Unrestricted Reserves</t>
  </si>
  <si>
    <t xml:space="preserve">  Interest Income on Restricted Reserves</t>
  </si>
  <si>
    <t xml:space="preserve">  Other Revenues</t>
  </si>
  <si>
    <t>Total Operating Revenues</t>
  </si>
  <si>
    <t>Transfers from (to) Rate Stabilization</t>
  </si>
  <si>
    <t>Transfers from Landfill Closure Fund</t>
  </si>
  <si>
    <t>Gross Revenues</t>
  </si>
  <si>
    <t>Operating Expenses</t>
  </si>
  <si>
    <t xml:space="preserve">  Transfer Operations Contract</t>
  </si>
  <si>
    <t xml:space="preserve">  Disposal Contract</t>
  </si>
  <si>
    <t xml:space="preserve">  General and Administrative Expenses</t>
  </si>
  <si>
    <t xml:space="preserve">  Post-Closure Maintenance</t>
  </si>
  <si>
    <t>Total Operating Expenses</t>
  </si>
  <si>
    <t>Net Revenues after operational expenses</t>
  </si>
  <si>
    <t>Debt Service - 2004 Revenue Bonds</t>
  </si>
  <si>
    <t>Regulatory Fees</t>
  </si>
  <si>
    <t>Capitol Improvement</t>
  </si>
  <si>
    <t>Net Revenues</t>
  </si>
  <si>
    <t>Tons</t>
  </si>
  <si>
    <t>APPROPRIATIONS/ENCUMBERANCES/EXPENDITURES</t>
  </si>
  <si>
    <t xml:space="preserve"> </t>
  </si>
  <si>
    <t>over</t>
  </si>
  <si>
    <t>ACCT #</t>
  </si>
  <si>
    <t>ACCOUNT/CLASS DESCRIPTION</t>
  </si>
  <si>
    <t>under</t>
  </si>
  <si>
    <t>S/W:EXTRA HELP</t>
  </si>
  <si>
    <t>E/B:MEDICARE</t>
  </si>
  <si>
    <t>E/B:FICA</t>
  </si>
  <si>
    <t>E/B:INS:WKCOMP</t>
  </si>
  <si>
    <t>E/B:UNENPLOYINS</t>
  </si>
  <si>
    <t>-</t>
  </si>
  <si>
    <t>=</t>
  </si>
  <si>
    <t>TOTAL ESTIMATE SALARY &amp; BENEFITS</t>
  </si>
  <si>
    <t>Directors Compensation</t>
  </si>
  <si>
    <t>HOUSEHOLD EXPENSE-EXP</t>
  </si>
  <si>
    <t>INSURANCE:E&amp;O LIABILITY-EXP</t>
  </si>
  <si>
    <t>Memberships</t>
  </si>
  <si>
    <t>OFFICE EXPENSE-EXP</t>
  </si>
  <si>
    <t>PSS:LEGAL EXPENSE-EXP</t>
  </si>
  <si>
    <t>PSS:ADMINISTRATION-EXP</t>
  </si>
  <si>
    <t>PUBLICTNS/LGL NOTICE-EXP</t>
  </si>
  <si>
    <t>SDE:OTHER-EXP</t>
  </si>
  <si>
    <t>TRANSPORTATION &amp; TRAV-EXP</t>
  </si>
  <si>
    <t>T/T:PRIVATE VEH MILE</t>
  </si>
  <si>
    <t>PSS:OTHER-EXP</t>
  </si>
  <si>
    <t>PSS:LANDFILL/QRRY OP-EXP</t>
  </si>
  <si>
    <t>PSS:LEACHATE DISPOSAL-EXP</t>
  </si>
  <si>
    <t>SDE:POST CLOSURE-EXP</t>
  </si>
  <si>
    <t>PROF/SPECIAL</t>
  </si>
  <si>
    <t>52189110</t>
  </si>
  <si>
    <t>PSS:TRANSFER STATION OP-EXP</t>
  </si>
  <si>
    <t>52189120</t>
  </si>
  <si>
    <t>PSS:TRANSFER STATION DISP-EXP</t>
  </si>
  <si>
    <t>52181400</t>
  </si>
  <si>
    <t>PSS:HOUSEHLD WASTECOLL</t>
  </si>
  <si>
    <t>5223230</t>
  </si>
  <si>
    <t>SDE:HOUSEHLD WASTECOLL</t>
  </si>
  <si>
    <t>52184000</t>
  </si>
  <si>
    <t>PSS:WATER</t>
  </si>
  <si>
    <t>SDE:STATE &amp; LOCAL FEE-EXP</t>
  </si>
  <si>
    <t>SDE:ST REGULATRY FEES-EXP</t>
  </si>
  <si>
    <t>TOTAL SERVICES &amp; SUPPLIES</t>
  </si>
  <si>
    <t>TOTAL OPERATIONS BUDGET</t>
  </si>
  <si>
    <t xml:space="preserve">  General &amp; Ad</t>
  </si>
  <si>
    <t>Year End Reserve</t>
  </si>
  <si>
    <t>NAPA-VALLEJO WASTE MANAGEMENT AUTHORITY</t>
  </si>
  <si>
    <t>2009-10</t>
  </si>
  <si>
    <t>FY 2009-10</t>
  </si>
  <si>
    <t>Disposal</t>
  </si>
  <si>
    <t>ADC</t>
  </si>
  <si>
    <t>MSW</t>
  </si>
  <si>
    <t>DRTS</t>
  </si>
  <si>
    <t>Transfer Station Floor</t>
  </si>
  <si>
    <t>Power Project</t>
  </si>
  <si>
    <t>Enterence roads</t>
  </si>
  <si>
    <t>Landfill Leeve</t>
  </si>
  <si>
    <t>In Bound Tons</t>
  </si>
  <si>
    <t>2010-11</t>
  </si>
  <si>
    <t>2011-12</t>
  </si>
  <si>
    <t>2012-13</t>
  </si>
  <si>
    <t>2013-14</t>
  </si>
  <si>
    <t>NA</t>
  </si>
  <si>
    <t xml:space="preserve">Debt Service Reserve </t>
  </si>
  <si>
    <t>Assumptions</t>
  </si>
  <si>
    <t>14% diversion</t>
  </si>
  <si>
    <t>FY'2008</t>
  </si>
  <si>
    <t>fy 09-10</t>
  </si>
  <si>
    <t>fy 10-11</t>
  </si>
  <si>
    <t>fy 11-12</t>
  </si>
  <si>
    <t xml:space="preserve">Capitol projects </t>
  </si>
  <si>
    <t xml:space="preserve">     Landfill permanent power-FY 2009-10</t>
  </si>
  <si>
    <t xml:space="preserve">     Transfer Station Floor Repair-FY 2010-11</t>
  </si>
  <si>
    <t xml:space="preserve">     Enterance road improvements and Repair-FY 2011-12</t>
  </si>
  <si>
    <t xml:space="preserve">     ACSL level elevation-FY 2012-13</t>
  </si>
  <si>
    <t>Inflation 0% 1st &amp; 2nd year, 3% after</t>
  </si>
  <si>
    <t>FY 2010-2011 Fee Increase</t>
  </si>
  <si>
    <t>Minium Reserve 1 months op expenses above/(below)</t>
  </si>
  <si>
    <t>Debt Service Coverage Ratio 1.25 minium</t>
  </si>
  <si>
    <t>FY 2010-2011 Tonnage increase/(decrease)</t>
  </si>
  <si>
    <t>FY 2010-11</t>
  </si>
  <si>
    <t>Proposed</t>
  </si>
  <si>
    <t>estimate</t>
  </si>
  <si>
    <t>Adj tons</t>
  </si>
  <si>
    <t>FY10-11</t>
  </si>
  <si>
    <t>Fy9-10</t>
  </si>
  <si>
    <t xml:space="preserve">Proposed </t>
  </si>
  <si>
    <t xml:space="preserve">Estimated Revenues and Expendtitures for FY </t>
  </si>
  <si>
    <t>#2a</t>
  </si>
  <si>
    <t>Proposed  Budget FY 2010-2011</t>
  </si>
  <si>
    <t>2014-15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</si>
</sst>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_(* \(#,##0\);_(* &quot;-&quot;?_);_(@_)"/>
    <numFmt numFmtId="171" formatCode="_(* #,##0.00_);_(* \(#,##0.00\);_(* &quot;-&quot;_);_(@_)"/>
    <numFmt numFmtId="172" formatCode="_(* #,##0.0_);_(* \(#,##0.0\);_(* &quot;-&quot;??_);_(@_)"/>
    <numFmt numFmtId="173" formatCode="_(* #,##0.0_);_(* \(#,##0.0\);_(* &quot;-&quot;?_);_(@_)"/>
    <numFmt numFmtId="174" formatCode="_(* #,##0.0_);_(* \(#,##0.0\);_(* &quot;-&quot;_);_(@_)"/>
    <numFmt numFmtId="175" formatCode="General_)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_);_(* \(#,##0.000\);_(* &quot;-&quot;???_);_(@_)"/>
    <numFmt numFmtId="183" formatCode="#,##0.0_);[Red]\(#,##0.0\)"/>
    <numFmt numFmtId="184" formatCode="0.00_);[Red]\(0.00\)"/>
    <numFmt numFmtId="185" formatCode="0.0_);[Red]\(0.0\)"/>
    <numFmt numFmtId="186" formatCode="0_);[Red]\(0\)"/>
    <numFmt numFmtId="187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2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42" applyNumberFormat="1" applyFont="1" applyAlignment="1">
      <alignment horizontal="center"/>
    </xf>
    <xf numFmtId="169" fontId="0" fillId="0" borderId="0" xfId="44" applyNumberFormat="1" applyFont="1" applyAlignment="1">
      <alignment/>
    </xf>
    <xf numFmtId="41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69" fontId="0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0" xfId="44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71" fontId="3" fillId="0" borderId="0" xfId="42" applyNumberFormat="1" applyFon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fill"/>
      <protection/>
    </xf>
    <xf numFmtId="41" fontId="3" fillId="0" borderId="0" xfId="0" applyNumberFormat="1" applyFont="1" applyAlignment="1">
      <alignment horizontal="center"/>
    </xf>
    <xf numFmtId="168" fontId="3" fillId="0" borderId="0" xfId="42" applyNumberFormat="1" applyFont="1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168" fontId="0" fillId="0" borderId="0" xfId="42" applyNumberFormat="1" applyFont="1" applyAlignment="1" applyProtection="1">
      <alignment horizontal="fill"/>
      <protection/>
    </xf>
    <xf numFmtId="41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 horizontal="left"/>
      <protection/>
    </xf>
    <xf numFmtId="168" fontId="0" fillId="0" borderId="0" xfId="42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168" fontId="0" fillId="0" borderId="0" xfId="42" applyNumberFormat="1" applyBorder="1" applyAlignment="1">
      <alignment/>
    </xf>
    <xf numFmtId="1" fontId="0" fillId="0" borderId="0" xfId="0" applyNumberFormat="1" applyAlignment="1">
      <alignment/>
    </xf>
    <xf numFmtId="169" fontId="0" fillId="0" borderId="0" xfId="44" applyNumberFormat="1" applyFont="1" applyBorder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Fill="1" applyAlignment="1">
      <alignment/>
    </xf>
    <xf numFmtId="169" fontId="0" fillId="0" borderId="0" xfId="44" applyNumberFormat="1" applyFont="1" applyFill="1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9" fontId="0" fillId="0" borderId="0" xfId="59" applyFont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 horizontal="center"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8" fillId="0" borderId="0" xfId="44" applyNumberFormat="1" applyFont="1" applyAlignment="1">
      <alignment/>
    </xf>
    <xf numFmtId="0" fontId="3" fillId="0" borderId="0" xfId="0" applyFont="1" applyAlignment="1">
      <alignment horizontal="right"/>
    </xf>
    <xf numFmtId="44" fontId="3" fillId="0" borderId="0" xfId="44" applyFont="1" applyAlignment="1">
      <alignment/>
    </xf>
    <xf numFmtId="38" fontId="7" fillId="0" borderId="0" xfId="44" applyNumberFormat="1" applyFont="1" applyAlignment="1">
      <alignment/>
    </xf>
    <xf numFmtId="186" fontId="3" fillId="0" borderId="0" xfId="42" applyNumberFormat="1" applyFont="1" applyAlignment="1">
      <alignment/>
    </xf>
    <xf numFmtId="41" fontId="0" fillId="0" borderId="0" xfId="44" applyNumberFormat="1" applyFont="1" applyAlignment="1" applyProtection="1">
      <alignment horizontal="left" indent="1"/>
      <protection/>
    </xf>
    <xf numFmtId="169" fontId="7" fillId="0" borderId="0" xfId="0" applyNumberFormat="1" applyFont="1" applyAlignment="1">
      <alignment horizontal="center"/>
    </xf>
    <xf numFmtId="169" fontId="0" fillId="0" borderId="10" xfId="44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12.7109375" style="0" customWidth="1"/>
    <col min="3" max="3" width="13.421875" style="36" customWidth="1"/>
    <col min="4" max="4" width="12.28125" style="0" bestFit="1" customWidth="1"/>
    <col min="5" max="5" width="16.8515625" style="0" customWidth="1"/>
    <col min="6" max="6" width="12.8515625" style="0" customWidth="1"/>
    <col min="7" max="7" width="12.28125" style="0" bestFit="1" customWidth="1"/>
  </cols>
  <sheetData>
    <row r="1" spans="3:6" ht="12.75">
      <c r="C1" s="36" t="s">
        <v>91</v>
      </c>
      <c r="D1" t="s">
        <v>92</v>
      </c>
      <c r="E1" t="s">
        <v>93</v>
      </c>
      <c r="F1" t="s">
        <v>94</v>
      </c>
    </row>
    <row r="2" spans="1:6" ht="12.75">
      <c r="A2" t="s">
        <v>78</v>
      </c>
      <c r="C2" s="36">
        <v>500000</v>
      </c>
      <c r="D2" s="39">
        <f>C2*1.03</f>
        <v>515000</v>
      </c>
      <c r="E2" s="39">
        <f>D2*1.03</f>
        <v>530450</v>
      </c>
      <c r="F2" s="39">
        <f>E2*1.03</f>
        <v>546363.5</v>
      </c>
    </row>
    <row r="3" spans="1:6" ht="12.75">
      <c r="A3" t="s">
        <v>79</v>
      </c>
      <c r="C3" s="36">
        <v>120000</v>
      </c>
      <c r="D3" s="39">
        <f aca="true" t="shared" si="0" ref="D3:E5">C3*1.03</f>
        <v>123600</v>
      </c>
      <c r="E3" s="39">
        <f t="shared" si="0"/>
        <v>127308</v>
      </c>
      <c r="F3" s="39">
        <f>E3*1.03</f>
        <v>131127.24</v>
      </c>
    </row>
    <row r="4" spans="1:6" ht="12.75">
      <c r="A4" t="s">
        <v>80</v>
      </c>
      <c r="C4" s="36">
        <v>250000</v>
      </c>
      <c r="D4" s="39">
        <f t="shared" si="0"/>
        <v>257500</v>
      </c>
      <c r="E4" s="39">
        <f t="shared" si="0"/>
        <v>265225</v>
      </c>
      <c r="F4" s="39">
        <f>E4*1.03</f>
        <v>273181.75</v>
      </c>
    </row>
    <row r="5" spans="1:7" ht="12.75">
      <c r="A5" t="s">
        <v>81</v>
      </c>
      <c r="C5" s="36">
        <v>100000</v>
      </c>
      <c r="D5" s="39">
        <f t="shared" si="0"/>
        <v>103000</v>
      </c>
      <c r="E5" s="39">
        <f t="shared" si="0"/>
        <v>106090</v>
      </c>
      <c r="F5" s="39">
        <f>E5*1.03</f>
        <v>109272.7</v>
      </c>
      <c r="G5" s="39">
        <f>F5*1.03</f>
        <v>112550.881</v>
      </c>
    </row>
    <row r="8" ht="12.75">
      <c r="C8" s="36">
        <f>SUM(C2:C5)</f>
        <v>970000</v>
      </c>
    </row>
    <row r="16" ht="12.75">
      <c r="E16" s="39">
        <f>E2-E4</f>
        <v>265225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8.57421875" style="0" customWidth="1"/>
    <col min="2" max="2" width="13.8515625" style="56" customWidth="1"/>
    <col min="3" max="4" width="14.7109375" style="0" customWidth="1"/>
    <col min="5" max="5" width="16.28125" style="0" customWidth="1"/>
    <col min="6" max="7" width="14.7109375" style="0" customWidth="1"/>
    <col min="8" max="8" width="13.421875" style="0" customWidth="1"/>
    <col min="9" max="9" width="4.8515625" style="0" customWidth="1"/>
    <col min="10" max="10" width="8.8515625" style="0" customWidth="1"/>
    <col min="12" max="12" width="11.28125" style="0" bestFit="1" customWidth="1"/>
    <col min="13" max="13" width="9.140625" style="38" customWidth="1"/>
  </cols>
  <sheetData>
    <row r="1" spans="1:9" ht="12.75">
      <c r="A1" s="37" t="s">
        <v>114</v>
      </c>
      <c r="B1" s="54"/>
      <c r="C1" s="37"/>
      <c r="D1" s="37"/>
      <c r="E1" s="37" t="s">
        <v>71</v>
      </c>
      <c r="I1" s="44"/>
    </row>
    <row r="2" spans="1:8" ht="33">
      <c r="A2" s="47" t="s">
        <v>104</v>
      </c>
      <c r="B2" s="55"/>
      <c r="C2" s="50">
        <f>D35-180000</f>
        <v>0</v>
      </c>
      <c r="H2" s="58" t="s">
        <v>113</v>
      </c>
    </row>
    <row r="3" spans="1:4" ht="12.75">
      <c r="A3" s="47" t="s">
        <v>101</v>
      </c>
      <c r="B3" s="55"/>
      <c r="C3" s="48">
        <v>1.75</v>
      </c>
      <c r="D3" s="37"/>
    </row>
    <row r="4" spans="1:8" ht="12.75">
      <c r="A4" s="37" t="s">
        <v>112</v>
      </c>
      <c r="B4" s="1" t="s">
        <v>72</v>
      </c>
      <c r="C4" s="1" t="s">
        <v>72</v>
      </c>
      <c r="D4" s="1" t="s">
        <v>83</v>
      </c>
      <c r="E4" s="1" t="s">
        <v>84</v>
      </c>
      <c r="F4" s="1" t="s">
        <v>85</v>
      </c>
      <c r="G4" s="1" t="s">
        <v>86</v>
      </c>
      <c r="H4" s="1" t="s">
        <v>115</v>
      </c>
    </row>
    <row r="5" spans="1:7" ht="12.75">
      <c r="A5" t="s">
        <v>0</v>
      </c>
      <c r="B5" s="56" t="s">
        <v>3</v>
      </c>
      <c r="C5" s="3" t="s">
        <v>2</v>
      </c>
      <c r="D5" s="3" t="s">
        <v>111</v>
      </c>
      <c r="E5" s="3"/>
      <c r="F5" s="2"/>
      <c r="G5" s="2"/>
    </row>
    <row r="6" spans="1:10" ht="12.75">
      <c r="A6" t="s">
        <v>4</v>
      </c>
      <c r="B6" s="4">
        <v>12192000</v>
      </c>
      <c r="C6" s="4">
        <v>11045198</v>
      </c>
      <c r="D6" s="4">
        <f>D35*J6</f>
        <v>11312947.999999998</v>
      </c>
      <c r="E6" s="4">
        <f>E35*J6</f>
        <v>11595771.699999997</v>
      </c>
      <c r="F6" s="4">
        <f>F35*J6</f>
        <v>11885665.992499996</v>
      </c>
      <c r="G6" s="4">
        <f>G35*J6</f>
        <v>12182807.642312493</v>
      </c>
      <c r="H6" s="4">
        <f>H35*J6</f>
        <v>12487377.833370304</v>
      </c>
      <c r="J6" s="39">
        <f>((C6/180000)+(C3*0.85))</f>
        <v>62.849711111111105</v>
      </c>
    </row>
    <row r="7" spans="1:10" ht="12.75">
      <c r="A7" t="s">
        <v>5</v>
      </c>
      <c r="B7" s="4">
        <v>180000</v>
      </c>
      <c r="C7" s="4">
        <v>67885</v>
      </c>
      <c r="D7" s="4">
        <f>C7*0.95</f>
        <v>64490.75</v>
      </c>
      <c r="E7" s="4">
        <f>D7*0.95</f>
        <v>61266.212499999994</v>
      </c>
      <c r="F7" s="4">
        <f>E7*0.95</f>
        <v>58202.90187499999</v>
      </c>
      <c r="G7" s="4">
        <f>F7*0.95</f>
        <v>55292.756781249984</v>
      </c>
      <c r="H7" s="4">
        <f>G7*0.95</f>
        <v>52528.11894218748</v>
      </c>
      <c r="J7" s="4"/>
    </row>
    <row r="8" spans="1:8" ht="12.75">
      <c r="A8" t="s">
        <v>6</v>
      </c>
      <c r="B8" s="4">
        <v>0</v>
      </c>
      <c r="C8" s="4"/>
      <c r="D8" s="4"/>
      <c r="E8" s="4"/>
      <c r="F8" s="4"/>
      <c r="G8" s="4"/>
      <c r="H8" s="4"/>
    </row>
    <row r="9" spans="1:8" ht="12.75">
      <c r="A9" t="s">
        <v>7</v>
      </c>
      <c r="B9" s="4">
        <v>47000</v>
      </c>
      <c r="C9" s="4">
        <v>13328</v>
      </c>
      <c r="D9" s="4">
        <v>13173</v>
      </c>
      <c r="E9" s="4">
        <f>D9*1.025</f>
        <v>13502.324999999999</v>
      </c>
      <c r="F9" s="4">
        <f>E9*1.025</f>
        <v>13839.883124999998</v>
      </c>
      <c r="G9" s="4">
        <f>F9*1.025</f>
        <v>14185.880203124998</v>
      </c>
      <c r="H9" s="4">
        <f>G9*1.025</f>
        <v>14540.527208203122</v>
      </c>
    </row>
    <row r="10" spans="1:8" ht="12.75">
      <c r="A10" s="7" t="s">
        <v>8</v>
      </c>
      <c r="B10" s="8">
        <v>250000</v>
      </c>
      <c r="C10" s="8">
        <v>274000</v>
      </c>
      <c r="D10" s="53">
        <v>50000</v>
      </c>
      <c r="E10" s="8">
        <f>+D10*1.025</f>
        <v>51249.99999999999</v>
      </c>
      <c r="F10" s="8">
        <f>+E10*1.025</f>
        <v>52531.249999999985</v>
      </c>
      <c r="G10" s="8">
        <f>+F10*1.025</f>
        <v>53844.53124999998</v>
      </c>
      <c r="H10" s="8">
        <f>+G10*1.025</f>
        <v>55190.64453124997</v>
      </c>
    </row>
    <row r="11" spans="1:8" ht="12.75">
      <c r="A11" t="s">
        <v>9</v>
      </c>
      <c r="B11" s="4">
        <f>SUM(B6:B10)</f>
        <v>12669000</v>
      </c>
      <c r="C11" s="4">
        <f aca="true" t="shared" si="0" ref="C11:H11">SUM(C6:C10)</f>
        <v>11400411</v>
      </c>
      <c r="D11" s="4">
        <f t="shared" si="0"/>
        <v>11440611.749999998</v>
      </c>
      <c r="E11" s="4">
        <f t="shared" si="0"/>
        <v>11721790.237499997</v>
      </c>
      <c r="F11" s="4">
        <f t="shared" si="0"/>
        <v>12010240.027499996</v>
      </c>
      <c r="G11" s="32">
        <f t="shared" si="0"/>
        <v>12306130.810546868</v>
      </c>
      <c r="H11" s="32">
        <f t="shared" si="0"/>
        <v>12609637.124051945</v>
      </c>
    </row>
    <row r="12" spans="2:8" ht="12.75">
      <c r="B12" s="4"/>
      <c r="C12" s="4"/>
      <c r="D12" s="4"/>
      <c r="E12" s="4"/>
      <c r="F12" s="4"/>
      <c r="G12" s="4"/>
      <c r="H12" s="4"/>
    </row>
    <row r="13" spans="1:8" ht="0.75" customHeight="1">
      <c r="A13" t="s">
        <v>10</v>
      </c>
      <c r="C13" s="4">
        <v>0</v>
      </c>
      <c r="D13" s="4"/>
      <c r="E13" s="4">
        <v>0</v>
      </c>
      <c r="F13" s="4">
        <v>0</v>
      </c>
      <c r="G13" s="34">
        <v>0</v>
      </c>
      <c r="H13" s="34">
        <v>0</v>
      </c>
    </row>
    <row r="14" spans="1:10" ht="12.75" hidden="1">
      <c r="A14" t="s">
        <v>11</v>
      </c>
      <c r="C14" s="4">
        <v>0</v>
      </c>
      <c r="D14" s="4"/>
      <c r="E14" s="4">
        <v>0</v>
      </c>
      <c r="F14" s="4">
        <v>0</v>
      </c>
      <c r="G14" s="35"/>
      <c r="H14" s="35"/>
      <c r="J14" s="36"/>
    </row>
    <row r="15" spans="3:8" ht="12.75" hidden="1">
      <c r="C15" s="8"/>
      <c r="D15" s="8"/>
      <c r="E15" s="8"/>
      <c r="F15" s="8"/>
      <c r="G15" s="8"/>
      <c r="H15" s="8"/>
    </row>
    <row r="16" spans="1:8" ht="12.75">
      <c r="A16" s="9" t="s">
        <v>12</v>
      </c>
      <c r="B16" s="57">
        <f>B11</f>
        <v>12669000</v>
      </c>
      <c r="C16" s="10">
        <f aca="true" t="shared" si="1" ref="C16:H16">SUM(C11:C14)</f>
        <v>11400411</v>
      </c>
      <c r="D16" s="10">
        <f t="shared" si="1"/>
        <v>11440611.749999998</v>
      </c>
      <c r="E16" s="10">
        <f t="shared" si="1"/>
        <v>11721790.237499997</v>
      </c>
      <c r="F16" s="10">
        <f t="shared" si="1"/>
        <v>12010240.027499996</v>
      </c>
      <c r="G16" s="10">
        <f t="shared" si="1"/>
        <v>12306130.810546868</v>
      </c>
      <c r="H16" s="10">
        <f t="shared" si="1"/>
        <v>12609637.124051945</v>
      </c>
    </row>
    <row r="17" spans="6:7" ht="12.75">
      <c r="F17" s="4"/>
      <c r="G17" s="4"/>
    </row>
    <row r="18" spans="1:7" ht="12.75">
      <c r="A18" t="s">
        <v>13</v>
      </c>
      <c r="F18" s="4"/>
      <c r="G18" s="4"/>
    </row>
    <row r="19" spans="1:8" ht="12.75">
      <c r="A19" t="s">
        <v>14</v>
      </c>
      <c r="B19" s="4">
        <f>'Detail Exp'!$J$35-B20</f>
        <v>5108174</v>
      </c>
      <c r="C19" s="11">
        <f>'Detail Exp'!$I$35-C20</f>
        <v>4526466</v>
      </c>
      <c r="D19" s="11">
        <f>'Detail Exp'!$H$35-D20</f>
        <v>4440300.720000001</v>
      </c>
      <c r="E19" s="11">
        <f aca="true" t="shared" si="2" ref="E19:H20">D19*1.03</f>
        <v>4573509.741600001</v>
      </c>
      <c r="F19" s="11">
        <f t="shared" si="2"/>
        <v>4710715.033848002</v>
      </c>
      <c r="G19" s="11">
        <f t="shared" si="2"/>
        <v>4852036.484863441</v>
      </c>
      <c r="H19" s="11">
        <f t="shared" si="2"/>
        <v>4997597.579409345</v>
      </c>
    </row>
    <row r="20" spans="1:8" ht="12.75">
      <c r="A20" t="s">
        <v>15</v>
      </c>
      <c r="B20" s="4">
        <f>'Detail Exp'!$C$33</f>
        <v>4365916</v>
      </c>
      <c r="C20" s="4">
        <f>'Detail Exp'!$D$33</f>
        <v>4138943</v>
      </c>
      <c r="D20" s="11">
        <f>'V expenses'!$J$12</f>
        <v>4479498.1602</v>
      </c>
      <c r="E20" s="11">
        <f t="shared" si="2"/>
        <v>4613883.105006</v>
      </c>
      <c r="F20" s="52">
        <f t="shared" si="2"/>
        <v>4752299.59815618</v>
      </c>
      <c r="G20" s="45">
        <f t="shared" si="2"/>
        <v>4894868.586100866</v>
      </c>
      <c r="H20" s="11">
        <f t="shared" si="2"/>
        <v>5041714.643683892</v>
      </c>
    </row>
    <row r="21" spans="1:8" ht="12.75">
      <c r="A21" t="s">
        <v>16</v>
      </c>
      <c r="B21" s="4">
        <f>'Detail Exp'!$J$24</f>
        <v>343812</v>
      </c>
      <c r="C21" s="12">
        <f>'Detail Exp'!$I$24</f>
        <v>379652</v>
      </c>
      <c r="D21" s="11">
        <f>'Detail Exp'!$H$24</f>
        <v>376565</v>
      </c>
      <c r="E21" s="11">
        <f aca="true" t="shared" si="3" ref="E21:H22">D21*1.03</f>
        <v>387861.95</v>
      </c>
      <c r="F21" s="11">
        <f t="shared" si="3"/>
        <v>399497.80850000004</v>
      </c>
      <c r="G21" s="11">
        <f t="shared" si="3"/>
        <v>411482.7427550001</v>
      </c>
      <c r="H21" s="11">
        <f t="shared" si="3"/>
        <v>423827.2250376501</v>
      </c>
    </row>
    <row r="22" spans="1:8" ht="12.75">
      <c r="A22" t="s">
        <v>17</v>
      </c>
      <c r="B22" s="8">
        <v>970850</v>
      </c>
      <c r="C22" s="13">
        <f>'Detail Exp'!$I$29</f>
        <v>571771</v>
      </c>
      <c r="D22" s="42">
        <f>'Detail Exp'!$H$29</f>
        <v>624000</v>
      </c>
      <c r="E22" s="42">
        <f t="shared" si="3"/>
        <v>642720</v>
      </c>
      <c r="F22" s="42">
        <f t="shared" si="3"/>
        <v>662001.6</v>
      </c>
      <c r="G22" s="42">
        <f t="shared" si="3"/>
        <v>681861.648</v>
      </c>
      <c r="H22" s="42">
        <f t="shared" si="3"/>
        <v>702317.4974400001</v>
      </c>
    </row>
    <row r="23" spans="1:8" ht="12.75">
      <c r="A23" t="s">
        <v>18</v>
      </c>
      <c r="B23" s="4">
        <f>SUM(B19:B22)</f>
        <v>10788752</v>
      </c>
      <c r="C23" s="32">
        <f aca="true" t="shared" si="4" ref="C23:H23">SUM(C19:C22)</f>
        <v>9616832</v>
      </c>
      <c r="D23" s="32">
        <f t="shared" si="4"/>
        <v>9920363.8802</v>
      </c>
      <c r="E23" s="32">
        <f t="shared" si="4"/>
        <v>10217974.796606</v>
      </c>
      <c r="F23" s="32">
        <f t="shared" si="4"/>
        <v>10524514.040504182</v>
      </c>
      <c r="G23" s="32">
        <f t="shared" si="4"/>
        <v>10840249.461719306</v>
      </c>
      <c r="H23" s="32">
        <f t="shared" si="4"/>
        <v>11165456.945570886</v>
      </c>
    </row>
    <row r="24" spans="3:7" ht="12.75">
      <c r="C24" s="4"/>
      <c r="D24" s="4"/>
      <c r="E24" s="4"/>
      <c r="F24" s="4"/>
      <c r="G24" s="4"/>
    </row>
    <row r="25" spans="1:8" ht="12.75">
      <c r="A25" t="s">
        <v>19</v>
      </c>
      <c r="B25" s="4">
        <f aca="true" t="shared" si="5" ref="B25:H25">+B16-B23</f>
        <v>1880248</v>
      </c>
      <c r="C25" s="4">
        <f t="shared" si="5"/>
        <v>1783579</v>
      </c>
      <c r="D25" s="4">
        <f t="shared" si="5"/>
        <v>1520247.8697999977</v>
      </c>
      <c r="E25" s="4">
        <f t="shared" si="5"/>
        <v>1503815.4408939965</v>
      </c>
      <c r="F25" s="4">
        <f t="shared" si="5"/>
        <v>1485725.9869958144</v>
      </c>
      <c r="G25" s="4">
        <f t="shared" si="5"/>
        <v>1465881.3488275614</v>
      </c>
      <c r="H25" s="4">
        <f t="shared" si="5"/>
        <v>1444180.1784810591</v>
      </c>
    </row>
    <row r="26" spans="3:7" ht="12.75">
      <c r="C26" s="4"/>
      <c r="D26" s="4"/>
      <c r="E26" s="4"/>
      <c r="F26" s="4"/>
      <c r="G26" s="4"/>
    </row>
    <row r="27" spans="1:8" ht="12.75">
      <c r="A27" t="s">
        <v>20</v>
      </c>
      <c r="B27" s="56">
        <v>1216504</v>
      </c>
      <c r="C27" s="4">
        <v>1218998</v>
      </c>
      <c r="D27" s="4">
        <f>(101883.33*8)+(99300*4)</f>
        <v>1212266.6400000001</v>
      </c>
      <c r="E27" s="4">
        <f>(99300*8)+(99795*4)</f>
        <v>1193580</v>
      </c>
      <c r="F27" s="33">
        <f>(99795*8)+(99845*4)</f>
        <v>1197740</v>
      </c>
      <c r="G27" s="33">
        <f>99845*8</f>
        <v>798760</v>
      </c>
      <c r="H27" s="33">
        <v>0</v>
      </c>
    </row>
    <row r="28" spans="1:8" ht="12.75">
      <c r="A28" t="s">
        <v>103</v>
      </c>
      <c r="B28" s="14">
        <f aca="true" t="shared" si="6" ref="B28:G28">+B25/B27</f>
        <v>1.5456159618053045</v>
      </c>
      <c r="C28" s="14">
        <f t="shared" si="6"/>
        <v>1.4631517032841728</v>
      </c>
      <c r="D28" s="14">
        <f t="shared" si="6"/>
        <v>1.2540540336901438</v>
      </c>
      <c r="E28" s="14">
        <f t="shared" si="6"/>
        <v>1.259920106648902</v>
      </c>
      <c r="F28" s="14">
        <f t="shared" si="6"/>
        <v>1.2404411533352935</v>
      </c>
      <c r="G28" s="14">
        <f t="shared" si="6"/>
        <v>1.8351962402067723</v>
      </c>
      <c r="H28" s="14" t="s">
        <v>87</v>
      </c>
    </row>
    <row r="29" spans="3:7" ht="12.75">
      <c r="C29" s="14"/>
      <c r="D29" s="14"/>
      <c r="E29" s="14"/>
      <c r="F29" s="14"/>
      <c r="G29" s="14"/>
    </row>
    <row r="30" spans="1:8" ht="12.75">
      <c r="A30" t="s">
        <v>21</v>
      </c>
      <c r="B30" s="56">
        <f>'Detail Exp'!$J$39</f>
        <v>97000</v>
      </c>
      <c r="C30" s="33">
        <v>83500</v>
      </c>
      <c r="D30" s="33">
        <f>(C30*1)*J33</f>
        <v>83500</v>
      </c>
      <c r="E30" s="33">
        <f>(D30*1.03)</f>
        <v>86005</v>
      </c>
      <c r="F30" s="33">
        <f>E30*1.03</f>
        <v>88585.15000000001</v>
      </c>
      <c r="G30" s="33">
        <f>F30*1.03</f>
        <v>91242.7045</v>
      </c>
      <c r="H30" s="33">
        <f>G30*1.03</f>
        <v>93979.985635</v>
      </c>
    </row>
    <row r="31" spans="1:8" ht="12.75">
      <c r="A31" t="s">
        <v>22</v>
      </c>
      <c r="B31" s="56">
        <v>123600</v>
      </c>
      <c r="C31" s="33">
        <v>123600</v>
      </c>
      <c r="D31" s="41">
        <f>CIP!$E$4</f>
        <v>265225</v>
      </c>
      <c r="E31" s="33">
        <f>CIP!$F$2</f>
        <v>546363.5</v>
      </c>
      <c r="F31" s="33">
        <f>CIP!$G$5</f>
        <v>112550.881</v>
      </c>
      <c r="G31" s="33">
        <v>0</v>
      </c>
      <c r="H31" s="4">
        <v>0</v>
      </c>
    </row>
    <row r="32" spans="3:8" ht="12.75">
      <c r="C32" s="4"/>
      <c r="D32" s="4"/>
      <c r="E32" s="4"/>
      <c r="F32" s="4"/>
      <c r="G32" s="4"/>
      <c r="H32" s="4"/>
    </row>
    <row r="33" spans="1:10" ht="12.75">
      <c r="A33" t="s">
        <v>23</v>
      </c>
      <c r="B33" s="4">
        <f aca="true" t="shared" si="7" ref="B33:H33">B25-B27-B30-B31</f>
        <v>443144</v>
      </c>
      <c r="C33" s="4">
        <f t="shared" si="7"/>
        <v>357481</v>
      </c>
      <c r="D33" s="4">
        <f t="shared" si="7"/>
        <v>-40743.77020000247</v>
      </c>
      <c r="E33" s="4">
        <f t="shared" si="7"/>
        <v>-322133.0591060035</v>
      </c>
      <c r="F33" s="4">
        <f t="shared" si="7"/>
        <v>86849.95599581435</v>
      </c>
      <c r="G33" s="4">
        <f t="shared" si="7"/>
        <v>575878.6443275614</v>
      </c>
      <c r="H33" s="4">
        <f t="shared" si="7"/>
        <v>1350200.192846059</v>
      </c>
      <c r="J33" s="43">
        <f>D35/C35</f>
        <v>1</v>
      </c>
    </row>
    <row r="34" ht="12.75">
      <c r="A34" s="15"/>
    </row>
    <row r="35" spans="1:8" ht="12.75">
      <c r="A35" t="s">
        <v>82</v>
      </c>
      <c r="B35" s="56">
        <v>200000</v>
      </c>
      <c r="C35" s="6">
        <v>180000</v>
      </c>
      <c r="D35" s="6">
        <v>180000</v>
      </c>
      <c r="E35" s="6">
        <f>D35*1.025</f>
        <v>184499.99999999997</v>
      </c>
      <c r="F35" s="6">
        <f>E35*1.025</f>
        <v>189112.49999999994</v>
      </c>
      <c r="G35" s="6">
        <f>F35*1.025</f>
        <v>193840.3124999999</v>
      </c>
      <c r="H35" s="6">
        <f>G35*1.025</f>
        <v>198686.32031249988</v>
      </c>
    </row>
    <row r="36" ht="12.75"/>
    <row r="37" spans="1:8" ht="12.75">
      <c r="A37" t="s">
        <v>70</v>
      </c>
      <c r="B37" s="56">
        <f>443144+665609</f>
        <v>1108753</v>
      </c>
      <c r="C37" s="4">
        <f>C33+576109</f>
        <v>933590</v>
      </c>
      <c r="D37" s="4">
        <f>D33+C37</f>
        <v>892846.2297999975</v>
      </c>
      <c r="E37" s="4">
        <f>E33+D37</f>
        <v>570713.170693994</v>
      </c>
      <c r="F37" s="4">
        <f>F33+E37</f>
        <v>657563.1266898084</v>
      </c>
      <c r="G37" s="4">
        <f>G33+F37+F40</f>
        <v>2136441.77101737</v>
      </c>
      <c r="H37" s="4">
        <f>H33+G37</f>
        <v>3486641.9638634287</v>
      </c>
    </row>
    <row r="38" spans="1:12" ht="12.75">
      <c r="A38" t="s">
        <v>102</v>
      </c>
      <c r="B38" s="49">
        <f aca="true" t="shared" si="8" ref="B38:H38">B37-(B23/12)</f>
        <v>209690.33333333337</v>
      </c>
      <c r="C38" s="49">
        <f t="shared" si="8"/>
        <v>132187.33333333337</v>
      </c>
      <c r="D38" s="49">
        <f t="shared" si="8"/>
        <v>66149.23978333082</v>
      </c>
      <c r="E38" s="49">
        <f t="shared" si="8"/>
        <v>-280784.72902317264</v>
      </c>
      <c r="F38" s="49">
        <f t="shared" si="8"/>
        <v>-219479.71001887333</v>
      </c>
      <c r="G38" s="49">
        <f t="shared" si="8"/>
        <v>1233087.6492074276</v>
      </c>
      <c r="H38" s="49">
        <f t="shared" si="8"/>
        <v>2556187.218399188</v>
      </c>
      <c r="L38" s="43"/>
    </row>
    <row r="39" spans="3:12" ht="12.75">
      <c r="C39" s="46"/>
      <c r="D39" s="46"/>
      <c r="E39" s="46"/>
      <c r="F39" s="46"/>
      <c r="G39" s="46"/>
      <c r="H39" s="46"/>
      <c r="L39" s="43"/>
    </row>
    <row r="40" spans="1:8" ht="12.75">
      <c r="A40" t="s">
        <v>88</v>
      </c>
      <c r="B40" s="4">
        <v>903000</v>
      </c>
      <c r="C40" s="4">
        <v>903000</v>
      </c>
      <c r="D40" s="4">
        <v>903000</v>
      </c>
      <c r="E40" s="4">
        <v>903000</v>
      </c>
      <c r="F40" s="4">
        <v>903000</v>
      </c>
      <c r="G40" s="4">
        <v>0</v>
      </c>
      <c r="H40" s="4">
        <v>0</v>
      </c>
    </row>
    <row r="41" spans="1:10" ht="12.75">
      <c r="A41" s="37" t="s">
        <v>89</v>
      </c>
      <c r="B41" s="54"/>
      <c r="J41" s="36"/>
    </row>
    <row r="42" ht="12.75">
      <c r="A42" t="s">
        <v>90</v>
      </c>
    </row>
    <row r="43" ht="12.75">
      <c r="A43" t="s">
        <v>100</v>
      </c>
    </row>
    <row r="44" ht="12.75">
      <c r="A44" t="s">
        <v>95</v>
      </c>
    </row>
    <row r="45" ht="12.75">
      <c r="A45" t="s">
        <v>96</v>
      </c>
    </row>
    <row r="46" ht="12.75">
      <c r="A46" t="s">
        <v>97</v>
      </c>
    </row>
    <row r="47" ht="12.75">
      <c r="A47" t="s">
        <v>98</v>
      </c>
    </row>
    <row r="48" ht="12.75">
      <c r="A48" t="s">
        <v>99</v>
      </c>
    </row>
  </sheetData>
  <sheetProtection/>
  <printOptions/>
  <pageMargins left="0.75" right="0.75" top="1" bottom="1" header="0.5" footer="0.5"/>
  <pageSetup horizontalDpi="600" verticalDpi="600" orientation="landscape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" sqref="F2"/>
    </sheetView>
  </sheetViews>
  <sheetFormatPr defaultColWidth="9.140625" defaultRowHeight="12.75"/>
  <cols>
    <col min="2" max="2" width="11.28125" style="6" bestFit="1" customWidth="1"/>
    <col min="3" max="3" width="9.140625" style="36" customWidth="1"/>
    <col min="4" max="4" width="15.421875" style="0" customWidth="1"/>
    <col min="8" max="8" width="16.57421875" style="0" customWidth="1"/>
    <col min="9" max="9" width="7.140625" style="0" customWidth="1"/>
    <col min="10" max="10" width="24.7109375" style="0" customWidth="1"/>
  </cols>
  <sheetData>
    <row r="1" spans="1:6" ht="12.75">
      <c r="A1" t="s">
        <v>24</v>
      </c>
      <c r="B1" s="6">
        <v>90000</v>
      </c>
      <c r="E1" t="s">
        <v>24</v>
      </c>
      <c r="F1" s="6">
        <v>90000</v>
      </c>
    </row>
    <row r="2" spans="1:7" ht="12.75">
      <c r="A2" t="s">
        <v>108</v>
      </c>
      <c r="B2" s="6">
        <f>B1*0.96</f>
        <v>86400</v>
      </c>
      <c r="E2" t="s">
        <v>108</v>
      </c>
      <c r="F2" s="6">
        <f>F1*0.96</f>
        <v>86400</v>
      </c>
      <c r="G2" s="36"/>
    </row>
    <row r="3" spans="6:7" ht="12.75">
      <c r="F3" s="6"/>
      <c r="G3" s="36"/>
    </row>
    <row r="4" spans="6:7" ht="12.75">
      <c r="F4" s="6"/>
      <c r="G4" s="36"/>
    </row>
    <row r="5" spans="6:7" ht="12.75">
      <c r="F5" s="6"/>
      <c r="G5" s="36"/>
    </row>
    <row r="6" spans="6:7" ht="12.75">
      <c r="F6" s="6"/>
      <c r="G6" s="36"/>
    </row>
    <row r="7" spans="6:7" ht="12.75">
      <c r="F7" s="6"/>
      <c r="G7" s="36"/>
    </row>
    <row r="8" spans="6:7" ht="12.75">
      <c r="F8" s="6"/>
      <c r="G8" s="36"/>
    </row>
    <row r="9" spans="1:7" ht="12.75">
      <c r="A9" s="37" t="s">
        <v>74</v>
      </c>
      <c r="B9" s="6">
        <f>(B2*0.86)+B10</f>
        <v>86904</v>
      </c>
      <c r="E9" s="37" t="s">
        <v>74</v>
      </c>
      <c r="F9" s="6">
        <f>(F2*0.86)+F10</f>
        <v>86904</v>
      </c>
      <c r="G9" s="36"/>
    </row>
    <row r="10" spans="1:8" ht="12.75">
      <c r="A10" t="s">
        <v>75</v>
      </c>
      <c r="B10" s="6">
        <f>B1*0.14</f>
        <v>12600.000000000002</v>
      </c>
      <c r="C10" s="36">
        <f>15.23*1.03</f>
        <v>15.686900000000001</v>
      </c>
      <c r="D10" s="4">
        <f>B10*C10</f>
        <v>197654.94000000006</v>
      </c>
      <c r="E10" t="s">
        <v>75</v>
      </c>
      <c r="F10" s="6">
        <f>F1*0.14</f>
        <v>12600.000000000002</v>
      </c>
      <c r="G10" s="36">
        <f>C10*1.03</f>
        <v>16.157507000000003</v>
      </c>
      <c r="H10" s="4">
        <f>F10*G10</f>
        <v>203584.58820000006</v>
      </c>
    </row>
    <row r="11" spans="1:8" ht="12.75">
      <c r="A11" t="s">
        <v>76</v>
      </c>
      <c r="B11" s="6">
        <f>B9-B10</f>
        <v>74304</v>
      </c>
      <c r="C11" s="36">
        <f>26.25*1.03</f>
        <v>27.0375</v>
      </c>
      <c r="D11" s="4">
        <f>B11*C11</f>
        <v>2008994.4000000001</v>
      </c>
      <c r="E11" t="s">
        <v>76</v>
      </c>
      <c r="F11" s="6">
        <f>F9-F10</f>
        <v>74304</v>
      </c>
      <c r="G11" s="36">
        <f>C11*1.03</f>
        <v>27.848625000000002</v>
      </c>
      <c r="H11" s="4">
        <f>F11*G11</f>
        <v>2069264.232</v>
      </c>
    </row>
    <row r="12" spans="4:10" ht="12.75">
      <c r="D12" s="41">
        <f>SUM(D10:D11)</f>
        <v>2206649.3400000003</v>
      </c>
      <c r="F12" s="6"/>
      <c r="G12" s="36"/>
      <c r="H12" s="41">
        <f>SUM(H10:H11)</f>
        <v>2272848.8202</v>
      </c>
      <c r="J12" s="41">
        <f>D12+H12</f>
        <v>4479498.1602</v>
      </c>
    </row>
    <row r="13" spans="1:7" ht="12.75">
      <c r="A13" t="s">
        <v>77</v>
      </c>
      <c r="E13" t="s">
        <v>77</v>
      </c>
      <c r="F13" s="6"/>
      <c r="G13" s="36"/>
    </row>
    <row r="14" spans="2:8" ht="12.75">
      <c r="B14" s="6">
        <f>B9</f>
        <v>86904</v>
      </c>
      <c r="C14" s="36">
        <v>9.03</v>
      </c>
      <c r="D14" s="4">
        <f>B14*C14</f>
        <v>784743.12</v>
      </c>
      <c r="F14" s="6">
        <f>F9</f>
        <v>86904</v>
      </c>
      <c r="G14" s="36">
        <v>9.4</v>
      </c>
      <c r="H14" s="4">
        <f>F14*G14</f>
        <v>816897.6</v>
      </c>
    </row>
    <row r="15" spans="2:8" ht="12.75">
      <c r="B15" s="6">
        <f>B2</f>
        <v>86400</v>
      </c>
      <c r="C15" s="36">
        <v>13.45</v>
      </c>
      <c r="D15" s="4">
        <f>B15*C15</f>
        <v>1162080</v>
      </c>
      <c r="F15" s="6">
        <f>F2</f>
        <v>86400</v>
      </c>
      <c r="G15" s="36">
        <f>13.45</f>
        <v>13.45</v>
      </c>
      <c r="H15" s="4">
        <f>F15*G15</f>
        <v>1162080</v>
      </c>
    </row>
    <row r="16" spans="2:8" ht="12.75">
      <c r="B16" s="6">
        <f>B1*0.04</f>
        <v>3600</v>
      </c>
      <c r="C16" s="36">
        <v>10.32</v>
      </c>
      <c r="D16" s="4">
        <f>B16*C16</f>
        <v>37152</v>
      </c>
      <c r="F16" s="6">
        <f>F1*0.04</f>
        <v>3600</v>
      </c>
      <c r="G16" s="36">
        <v>10.32</v>
      </c>
      <c r="H16" s="4">
        <f>F16*G16</f>
        <v>37152</v>
      </c>
    </row>
    <row r="17" spans="4:10" ht="12.75">
      <c r="D17" s="41">
        <f>SUM(D14:D15)</f>
        <v>1946823.12</v>
      </c>
      <c r="F17" s="6"/>
      <c r="G17" s="36"/>
      <c r="H17" s="41">
        <f>SUM(H14:H15)</f>
        <v>1978977.6</v>
      </c>
      <c r="J17" s="41">
        <f>D17+H17</f>
        <v>3925800.72</v>
      </c>
    </row>
    <row r="22" spans="4:10" ht="12.75">
      <c r="D22" s="43">
        <f>D17/(B2*0.86)</f>
        <v>26.20078488372093</v>
      </c>
      <c r="H22" s="43">
        <f>H17/(F2*0.86)</f>
        <v>26.633527131782948</v>
      </c>
      <c r="J22">
        <f>H22/D22</f>
        <v>1.0165163849091745</v>
      </c>
    </row>
    <row r="23" ht="12.75">
      <c r="D23" t="s">
        <v>26</v>
      </c>
    </row>
    <row r="25" spans="4:8" ht="12.75">
      <c r="D25" s="36">
        <f>(B2*0.86)*(25.32*1)</f>
        <v>1881377.28</v>
      </c>
      <c r="H25" s="36">
        <f>(F2*0.86)*(25.32*1.03)</f>
        <v>1937818.5984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1">
      <selection activeCell="J29" sqref="J29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3" width="14.8515625" style="0" customWidth="1"/>
    <col min="4" max="4" width="14.57421875" style="0" customWidth="1"/>
    <col min="5" max="5" width="10.7109375" style="0" customWidth="1"/>
    <col min="6" max="6" width="15.7109375" style="0" customWidth="1"/>
    <col min="7" max="7" width="16.8515625" style="0" customWidth="1"/>
    <col min="8" max="8" width="12.8515625" style="0" customWidth="1"/>
    <col min="9" max="9" width="13.140625" style="0" customWidth="1"/>
    <col min="10" max="10" width="17.8515625" style="0" customWidth="1"/>
    <col min="11" max="11" width="13.140625" style="0" customWidth="1"/>
    <col min="12" max="12" width="13.7109375" style="0" customWidth="1"/>
    <col min="13" max="13" width="12.421875" style="0" customWidth="1"/>
  </cols>
  <sheetData>
    <row r="1" spans="1:6" ht="12.75">
      <c r="A1" s="16" t="s">
        <v>25</v>
      </c>
      <c r="E1" s="6"/>
      <c r="F1" s="17"/>
    </row>
    <row r="2" spans="1:12" ht="12.75">
      <c r="A2" s="18" t="s">
        <v>26</v>
      </c>
      <c r="B2" s="19" t="s">
        <v>26</v>
      </c>
      <c r="C2" s="20" t="s">
        <v>73</v>
      </c>
      <c r="D2" s="20" t="s">
        <v>73</v>
      </c>
      <c r="E2" s="21" t="s">
        <v>27</v>
      </c>
      <c r="F2" s="20" t="s">
        <v>105</v>
      </c>
      <c r="H2" s="20" t="s">
        <v>105</v>
      </c>
      <c r="I2" s="20" t="s">
        <v>73</v>
      </c>
      <c r="J2" s="20"/>
      <c r="K2" s="21"/>
      <c r="L2" s="20"/>
    </row>
    <row r="3" spans="1:12" ht="12.75">
      <c r="A3" s="16" t="s">
        <v>28</v>
      </c>
      <c r="B3" s="22" t="s">
        <v>29</v>
      </c>
      <c r="C3" s="23" t="s">
        <v>3</v>
      </c>
      <c r="D3" s="23" t="s">
        <v>2</v>
      </c>
      <c r="E3" s="21" t="s">
        <v>30</v>
      </c>
      <c r="F3" s="23" t="s">
        <v>106</v>
      </c>
      <c r="H3" s="23" t="s">
        <v>1</v>
      </c>
      <c r="I3" s="23" t="s">
        <v>107</v>
      </c>
      <c r="J3" s="23"/>
      <c r="K3" s="21"/>
      <c r="L3" s="23"/>
    </row>
    <row r="4" spans="1:6" ht="12.75">
      <c r="A4" s="16">
        <v>51200100</v>
      </c>
      <c r="B4" s="22" t="s">
        <v>31</v>
      </c>
      <c r="C4" s="24">
        <f>46571*2</f>
        <v>93142</v>
      </c>
      <c r="D4" s="24">
        <v>132021</v>
      </c>
      <c r="E4" s="5">
        <f>C4-D4</f>
        <v>-38879</v>
      </c>
      <c r="F4" s="24">
        <v>132021</v>
      </c>
    </row>
    <row r="5" spans="1:6" ht="12.75">
      <c r="A5" s="16">
        <v>51300300</v>
      </c>
      <c r="B5" s="22" t="s">
        <v>32</v>
      </c>
      <c r="C5" s="24">
        <f>676*2</f>
        <v>1352</v>
      </c>
      <c r="D5" s="24">
        <v>1914</v>
      </c>
      <c r="E5" s="5">
        <f>C5-D5</f>
        <v>-562</v>
      </c>
      <c r="F5" s="24">
        <v>1914</v>
      </c>
    </row>
    <row r="6" spans="1:6" ht="12.75">
      <c r="A6" s="16">
        <v>51300400</v>
      </c>
      <c r="B6" s="22" t="s">
        <v>33</v>
      </c>
      <c r="C6" s="24">
        <f>2*2888</f>
        <v>5776</v>
      </c>
      <c r="D6" s="24">
        <v>8185</v>
      </c>
      <c r="E6" s="5">
        <f>C6-D6</f>
        <v>-2409</v>
      </c>
      <c r="F6" s="24">
        <v>8185</v>
      </c>
    </row>
    <row r="7" spans="1:9" ht="12.75">
      <c r="A7" s="16">
        <v>51301200</v>
      </c>
      <c r="B7" s="22" t="s">
        <v>34</v>
      </c>
      <c r="C7" s="24">
        <f>2*4751</f>
        <v>9502</v>
      </c>
      <c r="D7" s="24">
        <v>10500</v>
      </c>
      <c r="E7" s="5">
        <f>C7-D7</f>
        <v>-998</v>
      </c>
      <c r="F7" s="24">
        <v>10500</v>
      </c>
      <c r="H7" t="s">
        <v>109</v>
      </c>
      <c r="I7" t="s">
        <v>110</v>
      </c>
    </row>
    <row r="8" spans="1:6" ht="12.75">
      <c r="A8" s="16">
        <v>51301300</v>
      </c>
      <c r="B8" s="22" t="s">
        <v>35</v>
      </c>
      <c r="C8" s="24">
        <f>2*245</f>
        <v>490</v>
      </c>
      <c r="D8" s="24">
        <v>1395</v>
      </c>
      <c r="E8" s="5">
        <f>C8-D8</f>
        <v>-905</v>
      </c>
      <c r="F8" s="24">
        <v>1395</v>
      </c>
    </row>
    <row r="9" spans="1:5" ht="12.75">
      <c r="A9" s="18" t="s">
        <v>36</v>
      </c>
      <c r="B9" s="19" t="s">
        <v>36</v>
      </c>
      <c r="C9" s="19"/>
      <c r="E9" s="25"/>
    </row>
    <row r="10" spans="1:6" ht="12.75">
      <c r="A10" s="18" t="s">
        <v>37</v>
      </c>
      <c r="B10" s="19" t="s">
        <v>37</v>
      </c>
      <c r="C10" s="19"/>
      <c r="D10" s="18" t="s">
        <v>37</v>
      </c>
      <c r="E10" s="18" t="s">
        <v>37</v>
      </c>
      <c r="F10" s="18" t="s">
        <v>37</v>
      </c>
    </row>
    <row r="11" spans="1:6" ht="12.75">
      <c r="A11" s="16" t="s">
        <v>38</v>
      </c>
      <c r="C11" s="26">
        <f>SUM(C4:C8)</f>
        <v>110262</v>
      </c>
      <c r="D11" s="26">
        <f>SUM(D4:D8)</f>
        <v>154015</v>
      </c>
      <c r="E11" s="5">
        <f>C11-D11</f>
        <v>-43753</v>
      </c>
      <c r="F11" s="26">
        <f>SUM(F4:F8)</f>
        <v>154015</v>
      </c>
    </row>
    <row r="12" spans="1:6" ht="12.75">
      <c r="A12" s="18" t="s">
        <v>37</v>
      </c>
      <c r="B12" s="19" t="s">
        <v>37</v>
      </c>
      <c r="C12" s="19"/>
      <c r="D12" s="18" t="s">
        <v>37</v>
      </c>
      <c r="E12" s="18" t="s">
        <v>37</v>
      </c>
      <c r="F12" s="18" t="s">
        <v>37</v>
      </c>
    </row>
    <row r="13" spans="1:6" ht="12.75">
      <c r="A13" s="18"/>
      <c r="B13" s="19"/>
      <c r="C13" s="19"/>
      <c r="E13" s="25"/>
      <c r="F13" s="24"/>
    </row>
    <row r="14" spans="1:6" ht="12.75">
      <c r="A14" s="18">
        <v>52185010</v>
      </c>
      <c r="B14" s="27" t="s">
        <v>39</v>
      </c>
      <c r="C14" s="51">
        <v>4800</v>
      </c>
      <c r="D14" s="24">
        <v>4400</v>
      </c>
      <c r="E14" s="5">
        <f aca="true" t="shared" si="0" ref="E14:E29">C14-D14</f>
        <v>400</v>
      </c>
      <c r="F14" s="24">
        <v>4800</v>
      </c>
    </row>
    <row r="15" spans="1:6" ht="12.75">
      <c r="A15" s="16">
        <v>52090000</v>
      </c>
      <c r="B15" s="27" t="s">
        <v>40</v>
      </c>
      <c r="C15" s="27"/>
      <c r="D15" s="24">
        <v>0</v>
      </c>
      <c r="E15" s="5">
        <f t="shared" si="0"/>
        <v>0</v>
      </c>
      <c r="F15" s="24">
        <v>0</v>
      </c>
    </row>
    <row r="16" spans="1:6" ht="12.75">
      <c r="A16" s="16">
        <v>52100300</v>
      </c>
      <c r="B16" s="27" t="s">
        <v>41</v>
      </c>
      <c r="C16" s="24">
        <v>125000</v>
      </c>
      <c r="D16" s="24">
        <v>117487</v>
      </c>
      <c r="E16" s="5">
        <f t="shared" si="0"/>
        <v>7513</v>
      </c>
      <c r="F16" s="24">
        <v>125000</v>
      </c>
    </row>
    <row r="17" spans="1:6" ht="12.75">
      <c r="A17" s="16">
        <v>52150000</v>
      </c>
      <c r="B17" s="27" t="s">
        <v>42</v>
      </c>
      <c r="C17" s="24">
        <v>1000</v>
      </c>
      <c r="D17" s="24">
        <v>1000</v>
      </c>
      <c r="E17" s="5">
        <f t="shared" si="0"/>
        <v>0</v>
      </c>
      <c r="F17" s="24">
        <v>1000</v>
      </c>
    </row>
    <row r="18" spans="1:6" ht="12.75">
      <c r="A18" s="16">
        <v>52170000</v>
      </c>
      <c r="B18" s="27" t="s">
        <v>43</v>
      </c>
      <c r="C18" s="24">
        <v>1000</v>
      </c>
      <c r="D18" s="24">
        <v>1000</v>
      </c>
      <c r="E18" s="5">
        <f t="shared" si="0"/>
        <v>0</v>
      </c>
      <c r="F18" s="24">
        <v>1000</v>
      </c>
    </row>
    <row r="19" spans="1:6" ht="12.75">
      <c r="A19" s="16">
        <v>52180500</v>
      </c>
      <c r="B19" s="27" t="s">
        <v>44</v>
      </c>
      <c r="C19" s="27"/>
      <c r="D19" s="24">
        <v>0</v>
      </c>
      <c r="E19" s="5">
        <f t="shared" si="0"/>
        <v>0</v>
      </c>
      <c r="F19" s="24">
        <v>0</v>
      </c>
    </row>
    <row r="20" spans="1:6" ht="12.75">
      <c r="A20" s="16">
        <v>52186300</v>
      </c>
      <c r="B20" s="27" t="s">
        <v>45</v>
      </c>
      <c r="C20" s="24">
        <v>90000</v>
      </c>
      <c r="D20" s="24">
        <v>90000</v>
      </c>
      <c r="E20" s="5">
        <f t="shared" si="0"/>
        <v>0</v>
      </c>
      <c r="F20" s="24">
        <v>80000</v>
      </c>
    </row>
    <row r="21" spans="1:6" ht="12.75">
      <c r="A21" s="16">
        <v>52190000</v>
      </c>
      <c r="B21" s="27" t="s">
        <v>46</v>
      </c>
      <c r="C21" s="24">
        <v>750</v>
      </c>
      <c r="D21" s="24">
        <v>750</v>
      </c>
      <c r="E21" s="5">
        <f t="shared" si="0"/>
        <v>0</v>
      </c>
      <c r="F21" s="24">
        <v>750</v>
      </c>
    </row>
    <row r="22" spans="1:6" ht="12.75">
      <c r="A22" s="16">
        <v>52235000</v>
      </c>
      <c r="B22" s="27" t="s">
        <v>47</v>
      </c>
      <c r="C22" s="24">
        <v>1000</v>
      </c>
      <c r="D22" s="24">
        <v>1000</v>
      </c>
      <c r="E22" s="5">
        <f t="shared" si="0"/>
        <v>0</v>
      </c>
      <c r="F22" s="24">
        <v>0</v>
      </c>
    </row>
    <row r="23" spans="1:6" ht="12.75">
      <c r="A23" s="16">
        <v>52250000</v>
      </c>
      <c r="B23" s="27" t="s">
        <v>48</v>
      </c>
      <c r="C23" s="24">
        <v>8000</v>
      </c>
      <c r="D23" s="24">
        <v>8000</v>
      </c>
      <c r="E23" s="5">
        <f t="shared" si="0"/>
        <v>0</v>
      </c>
      <c r="F23" s="24">
        <v>8000</v>
      </c>
    </row>
    <row r="24" spans="1:12" ht="12.75">
      <c r="A24" s="16">
        <v>52251200</v>
      </c>
      <c r="B24" s="27" t="s">
        <v>49</v>
      </c>
      <c r="C24" s="24">
        <v>2000</v>
      </c>
      <c r="D24" s="24">
        <v>2000</v>
      </c>
      <c r="E24" s="5">
        <f t="shared" si="0"/>
        <v>0</v>
      </c>
      <c r="F24" s="24">
        <v>2000</v>
      </c>
      <c r="G24" t="s">
        <v>69</v>
      </c>
      <c r="H24" s="15">
        <f>SUM(F14:F24)+F11</f>
        <v>376565</v>
      </c>
      <c r="I24" s="15">
        <f>SUM(D11:D24)</f>
        <v>379652</v>
      </c>
      <c r="J24" s="15">
        <f>SUM(C11:C24)</f>
        <v>343812</v>
      </c>
      <c r="K24" s="6"/>
      <c r="L24" s="15"/>
    </row>
    <row r="25" spans="1:6" ht="12.75">
      <c r="A25" s="16"/>
      <c r="E25" s="5">
        <f t="shared" si="0"/>
        <v>0</v>
      </c>
      <c r="F25" s="24"/>
    </row>
    <row r="26" spans="1:6" ht="12.75">
      <c r="A26" s="16">
        <v>52185000</v>
      </c>
      <c r="B26" s="27" t="s">
        <v>50</v>
      </c>
      <c r="C26" s="24">
        <v>419987</v>
      </c>
      <c r="D26" s="24">
        <v>419987</v>
      </c>
      <c r="E26" s="5">
        <f>C26-D26</f>
        <v>0</v>
      </c>
      <c r="F26" s="24">
        <v>370000</v>
      </c>
    </row>
    <row r="27" spans="1:6" ht="12.75">
      <c r="A27" s="16">
        <v>52189130</v>
      </c>
      <c r="B27" s="27" t="s">
        <v>51</v>
      </c>
      <c r="C27" s="24">
        <v>388000</v>
      </c>
      <c r="D27" s="24">
        <f>132684+15000</f>
        <v>147684</v>
      </c>
      <c r="E27" s="5">
        <f>C27-D27</f>
        <v>240316</v>
      </c>
      <c r="F27" s="24">
        <v>250000</v>
      </c>
    </row>
    <row r="28" spans="1:6" ht="12.75">
      <c r="A28" s="16">
        <v>52189140</v>
      </c>
      <c r="B28" s="27" t="s">
        <v>52</v>
      </c>
      <c r="C28" s="24">
        <v>4000</v>
      </c>
      <c r="D28" s="24">
        <v>4000</v>
      </c>
      <c r="E28" s="5">
        <f t="shared" si="0"/>
        <v>0</v>
      </c>
      <c r="F28" s="24">
        <v>4000</v>
      </c>
    </row>
    <row r="29" spans="1:12" ht="12.75">
      <c r="A29" s="16">
        <v>52237300</v>
      </c>
      <c r="B29" s="27" t="s">
        <v>53</v>
      </c>
      <c r="C29" s="24">
        <v>100</v>
      </c>
      <c r="D29" s="24">
        <v>100</v>
      </c>
      <c r="E29" s="5">
        <f t="shared" si="0"/>
        <v>0</v>
      </c>
      <c r="F29" s="24">
        <v>0</v>
      </c>
      <c r="G29" t="s">
        <v>17</v>
      </c>
      <c r="H29" s="15">
        <f>SUM(F26:F29)</f>
        <v>624000</v>
      </c>
      <c r="I29" s="15">
        <f>SUM(D26:D29)</f>
        <v>571771</v>
      </c>
      <c r="J29" s="15">
        <f>SUM(C26:C29)</f>
        <v>812087</v>
      </c>
      <c r="K29" s="6"/>
      <c r="L29" s="15"/>
    </row>
    <row r="30" spans="1:6" ht="12.75">
      <c r="A30" s="16"/>
      <c r="B30" s="27"/>
      <c r="C30" s="24"/>
      <c r="E30" s="28"/>
      <c r="F30" s="24"/>
    </row>
    <row r="31" spans="1:6" ht="12.75">
      <c r="A31" s="16">
        <v>52180000</v>
      </c>
      <c r="B31" s="27" t="s">
        <v>54</v>
      </c>
      <c r="C31" s="27"/>
      <c r="E31" s="6"/>
      <c r="F31" s="24"/>
    </row>
    <row r="32" spans="1:6" ht="12.75">
      <c r="A32" s="29" t="s">
        <v>55</v>
      </c>
      <c r="B32" s="27" t="s">
        <v>56</v>
      </c>
      <c r="C32" s="41">
        <v>4725174</v>
      </c>
      <c r="D32" s="41">
        <v>4011808</v>
      </c>
      <c r="E32" s="5">
        <f>C32-D32</f>
        <v>713366</v>
      </c>
      <c r="F32" s="24">
        <f>'V expenses'!$J$17</f>
        <v>3925800.72</v>
      </c>
    </row>
    <row r="33" spans="1:6" ht="12.75">
      <c r="A33" s="29" t="s">
        <v>57</v>
      </c>
      <c r="B33" s="27" t="s">
        <v>58</v>
      </c>
      <c r="C33" s="6">
        <v>4365916</v>
      </c>
      <c r="D33" s="6">
        <v>4138943</v>
      </c>
      <c r="E33" s="5">
        <f>C33-D33</f>
        <v>226973</v>
      </c>
      <c r="F33" s="24">
        <f>'V expenses'!$J$12</f>
        <v>4479498.1602</v>
      </c>
    </row>
    <row r="34" spans="1:6" ht="12.75">
      <c r="A34" s="29" t="s">
        <v>59</v>
      </c>
      <c r="B34" s="27" t="s">
        <v>60</v>
      </c>
      <c r="C34" s="6">
        <v>375000</v>
      </c>
      <c r="D34" s="6">
        <v>510658</v>
      </c>
      <c r="E34" s="5">
        <f>C34-D34</f>
        <v>-135658</v>
      </c>
      <c r="F34" s="24">
        <v>510500</v>
      </c>
    </row>
    <row r="35" spans="1:12" ht="12.75">
      <c r="A35" s="29" t="s">
        <v>61</v>
      </c>
      <c r="B35" s="27" t="s">
        <v>62</v>
      </c>
      <c r="C35" s="24">
        <v>8000</v>
      </c>
      <c r="D35" s="24">
        <v>4000</v>
      </c>
      <c r="E35" s="5">
        <f>C35-D35</f>
        <v>4000</v>
      </c>
      <c r="F35" s="24">
        <v>4000</v>
      </c>
      <c r="H35" s="15">
        <f>SUM(F32:F35)</f>
        <v>8919798.8802</v>
      </c>
      <c r="I35" s="15">
        <f>SUM(D32:D35)</f>
        <v>8665409</v>
      </c>
      <c r="J35" s="15">
        <f>SUM(C32:C35)</f>
        <v>9474090</v>
      </c>
      <c r="K35" s="6"/>
      <c r="L35" s="15"/>
    </row>
    <row r="36" spans="1:6" ht="12.75">
      <c r="A36" s="29" t="s">
        <v>63</v>
      </c>
      <c r="B36" s="27" t="s">
        <v>64</v>
      </c>
      <c r="C36" s="27"/>
      <c r="E36" s="5">
        <f>C36-D36</f>
        <v>0</v>
      </c>
      <c r="F36" s="24"/>
    </row>
    <row r="37" spans="1:6" ht="12.75">
      <c r="A37" s="29"/>
      <c r="B37" s="27"/>
      <c r="C37" s="27"/>
      <c r="E37" s="30"/>
      <c r="F37" s="24"/>
    </row>
    <row r="38" spans="1:6" ht="12.75">
      <c r="A38" s="16">
        <v>52236130</v>
      </c>
      <c r="B38" s="27" t="s">
        <v>65</v>
      </c>
      <c r="C38" s="24">
        <v>75000</v>
      </c>
      <c r="D38" s="24">
        <v>63500</v>
      </c>
      <c r="E38" s="5">
        <f>C38-D38</f>
        <v>11500</v>
      </c>
      <c r="F38" s="24">
        <v>63500</v>
      </c>
    </row>
    <row r="39" spans="1:12" ht="12.75">
      <c r="A39" s="16">
        <v>52236140</v>
      </c>
      <c r="B39" s="27" t="s">
        <v>66</v>
      </c>
      <c r="C39" s="24">
        <v>22000</v>
      </c>
      <c r="D39" s="24">
        <v>20000</v>
      </c>
      <c r="E39" s="5">
        <f>C39-D39</f>
        <v>2000</v>
      </c>
      <c r="F39" s="24">
        <v>20000</v>
      </c>
      <c r="H39" s="15">
        <f>SUM(F38:F39)</f>
        <v>83500</v>
      </c>
      <c r="I39" s="15">
        <f>SUM(D38:D39)</f>
        <v>83500</v>
      </c>
      <c r="J39" s="15">
        <f>SUM(C38:C39)</f>
        <v>97000</v>
      </c>
      <c r="K39" s="6"/>
      <c r="L39" s="15"/>
    </row>
    <row r="40" spans="1:6" ht="12.75">
      <c r="A40" s="31"/>
      <c r="E40" s="6"/>
      <c r="F40" s="17"/>
    </row>
    <row r="41" spans="1:6" ht="12.75">
      <c r="A41" s="18" t="s">
        <v>36</v>
      </c>
      <c r="B41" s="19" t="s">
        <v>36</v>
      </c>
      <c r="C41" s="19"/>
      <c r="D41" s="19"/>
      <c r="E41" s="19"/>
      <c r="F41" s="19"/>
    </row>
    <row r="42" spans="1:6" ht="12.75">
      <c r="A42" s="16" t="s">
        <v>67</v>
      </c>
      <c r="C42" s="24">
        <f>SUM(C14:C39)</f>
        <v>10616727</v>
      </c>
      <c r="D42" s="24">
        <f>SUM(D14:D39)</f>
        <v>9546317</v>
      </c>
      <c r="E42" s="24">
        <f>SUM(E14:E39)</f>
        <v>1070410</v>
      </c>
      <c r="F42" s="24">
        <f>SUM(F14:F39)</f>
        <v>9849848.8802</v>
      </c>
    </row>
    <row r="43" spans="5:6" ht="12.75">
      <c r="E43" s="6"/>
      <c r="F43" s="2"/>
    </row>
    <row r="44" spans="5:6" ht="12.75">
      <c r="E44" s="6"/>
      <c r="F44" s="2"/>
    </row>
    <row r="45" spans="1:12" ht="12.75">
      <c r="A45" s="16" t="s">
        <v>68</v>
      </c>
      <c r="C45" s="17">
        <f>C42+C11</f>
        <v>10726989</v>
      </c>
      <c r="D45" s="17">
        <f>D42+D11</f>
        <v>9700332</v>
      </c>
      <c r="E45" s="17">
        <f>E42+E11</f>
        <v>1026657</v>
      </c>
      <c r="F45" s="17">
        <f>F42+F11</f>
        <v>10003863.8802</v>
      </c>
      <c r="I45" s="17">
        <f>SUM(I4:I42)</f>
        <v>9700332</v>
      </c>
      <c r="J45" s="17"/>
      <c r="K45" s="17"/>
      <c r="L45" s="17"/>
    </row>
  </sheetData>
  <sheetProtection/>
  <printOptions/>
  <pageMargins left="0.75" right="0.75" top="1" bottom="1" header="0.5" footer="0.5"/>
  <pageSetup horizontalDpi="600" verticalDpi="600" orientation="landscape" scale="83" r:id="rId3"/>
  <colBreaks count="1" manualBreakCount="1">
    <brk id="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7.00390625" style="0" bestFit="1" customWidth="1"/>
    <col min="2" max="2" width="34.421875" style="0" customWidth="1"/>
    <col min="6" max="6" width="15.00390625" style="0" bestFit="1" customWidth="1"/>
  </cols>
  <sheetData>
    <row r="1" spans="1:2" ht="12.75">
      <c r="A1" t="s">
        <v>0</v>
      </c>
      <c r="B1" s="3" t="s">
        <v>1</v>
      </c>
    </row>
    <row r="2" spans="1:6" ht="12.75">
      <c r="A2" t="s">
        <v>4</v>
      </c>
      <c r="B2" s="4">
        <f>B14*59</f>
        <v>10620000</v>
      </c>
      <c r="D2">
        <f>B14*0.68</f>
        <v>122400.00000000001</v>
      </c>
      <c r="E2">
        <v>60</v>
      </c>
      <c r="F2" s="36">
        <f>D2*E2</f>
        <v>7344000.000000001</v>
      </c>
    </row>
    <row r="3" spans="1:6" ht="12.75">
      <c r="A3" t="s">
        <v>5</v>
      </c>
      <c r="B3" s="4">
        <v>180000</v>
      </c>
      <c r="D3">
        <f>B14*0.32</f>
        <v>57600</v>
      </c>
      <c r="E3">
        <v>63</v>
      </c>
      <c r="F3" s="36">
        <f>D3*E3</f>
        <v>3628800</v>
      </c>
    </row>
    <row r="4" spans="1:2" ht="12.75">
      <c r="A4" t="s">
        <v>6</v>
      </c>
      <c r="B4" s="4">
        <v>0</v>
      </c>
    </row>
    <row r="5" spans="1:2" ht="12.75">
      <c r="A5" t="s">
        <v>7</v>
      </c>
      <c r="B5" s="4">
        <v>40000</v>
      </c>
    </row>
    <row r="6" spans="1:2" ht="12.75">
      <c r="A6" s="7" t="s">
        <v>8</v>
      </c>
      <c r="B6" s="8">
        <v>250000</v>
      </c>
    </row>
    <row r="7" spans="1:8" ht="12.75">
      <c r="A7" t="s">
        <v>9</v>
      </c>
      <c r="B7" s="4">
        <f>SUM(B2:B6)</f>
        <v>11090000</v>
      </c>
      <c r="F7" s="39">
        <f>SUM(F2:F6)</f>
        <v>10972800</v>
      </c>
      <c r="G7">
        <f>F7/B14</f>
        <v>60.96</v>
      </c>
      <c r="H7">
        <f>G7*75</f>
        <v>4572</v>
      </c>
    </row>
    <row r="8" spans="2:8" ht="12.75">
      <c r="B8" s="4"/>
      <c r="G8">
        <v>58.96</v>
      </c>
      <c r="H8">
        <f>G8*25</f>
        <v>1474</v>
      </c>
    </row>
    <row r="9" spans="1:8" ht="12.75">
      <c r="A9" t="s">
        <v>10</v>
      </c>
      <c r="B9" s="4">
        <v>0</v>
      </c>
      <c r="H9">
        <f>SUM(H7:H8)/100</f>
        <v>60.46</v>
      </c>
    </row>
    <row r="10" spans="1:2" ht="12.75">
      <c r="A10" t="s">
        <v>11</v>
      </c>
      <c r="B10" s="4">
        <v>0</v>
      </c>
    </row>
    <row r="11" ht="12.75">
      <c r="B11" s="8"/>
    </row>
    <row r="12" spans="1:2" ht="12.75">
      <c r="A12" s="9" t="s">
        <v>12</v>
      </c>
      <c r="B12" s="10">
        <f>SUM(B7:B10)</f>
        <v>11090000</v>
      </c>
    </row>
    <row r="14" spans="1:2" ht="12.75">
      <c r="A14" t="s">
        <v>24</v>
      </c>
      <c r="B14" s="40">
        <f>Summary!$C$35</f>
        <v>180000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Burdick, Martha</cp:lastModifiedBy>
  <cp:lastPrinted>2010-03-30T00:05:41Z</cp:lastPrinted>
  <dcterms:created xsi:type="dcterms:W3CDTF">2008-03-31T16:33:45Z</dcterms:created>
  <dcterms:modified xsi:type="dcterms:W3CDTF">2010-05-03T21:28:05Z</dcterms:modified>
  <cp:category/>
  <cp:version/>
  <cp:contentType/>
  <cp:contentStatus/>
</cp:coreProperties>
</file>