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firstSheet="8" activeTab="11"/>
  </bookViews>
  <sheets>
    <sheet name="Rates St Helena" sheetId="1" r:id="rId1"/>
    <sheet name="Rates Calistoga" sheetId="2" r:id="rId2"/>
    <sheet name="Rates Yountville" sheetId="3" r:id="rId3"/>
    <sheet name="Rates County" sheetId="4" r:id="rId4"/>
    <sheet name="Rates Pope Valley" sheetId="5" r:id="rId5"/>
    <sheet name="Method - A" sheetId="6" r:id="rId6"/>
    <sheet name="Wages - B" sheetId="7" r:id="rId7"/>
    <sheet name="Depr - C " sheetId="8" r:id="rId8"/>
    <sheet name="Pestoni Leasing - C-1" sheetId="9" r:id="rId9"/>
    <sheet name="Sum - proj debt C-2" sheetId="10" r:id="rId10"/>
    <sheet name="Detail - proj debt C-3" sheetId="11" r:id="rId11"/>
    <sheet name="New Programs - D" sheetId="12" r:id="rId12"/>
    <sheet name="Other Allow - E" sheetId="13" r:id="rId13"/>
    <sheet name="Landfill - F" sheetId="14" r:id="rId14"/>
    <sheet name="Fuel  - G" sheetId="15" r:id="rId15"/>
    <sheet name="Debt  - H" sheetId="16" r:id="rId16"/>
    <sheet name="Other Recoverable - I" sheetId="17" r:id="rId17"/>
    <sheet name="Revenue - J" sheetId="18" r:id="rId18"/>
  </sheets>
  <definedNames>
    <definedName name="_xlnm.Print_Area" localSheetId="15">'Debt  - H'!$A$1:$V$42</definedName>
    <definedName name="_xlnm.Print_Area" localSheetId="7">'Depr - C '!$A$1:$AE$84</definedName>
    <definedName name="_xlnm.Print_Area" localSheetId="5">'Method - A'!$A$1:$M$59</definedName>
    <definedName name="_xlnm.Print_Area" localSheetId="16">'Other Recoverable - I'!$A$1:$L$44</definedName>
    <definedName name="_xlnm.Print_Area" localSheetId="1">'Rates Calistoga'!$A$1:$L$287</definedName>
    <definedName name="_xlnm.Print_Area" localSheetId="3">'Rates County'!$A$1:$L$141</definedName>
    <definedName name="_xlnm.Print_Area" localSheetId="4">'Rates Pope Valley'!$A$1:$I$67</definedName>
    <definedName name="_xlnm.Print_Area" localSheetId="0">'Rates St Helena'!$A$1:$H$199</definedName>
    <definedName name="_xlnm.Print_Area" localSheetId="2">'Rates Yountville'!$A$1:$K$141</definedName>
    <definedName name="_xlnm.Print_Area" localSheetId="17">'Revenue - J'!$A$1:$J$55</definedName>
    <definedName name="_xlnm.Print_Area" localSheetId="6">'Wages - B'!$A$1:$S$106</definedName>
    <definedName name="_xlnm.Print_Titles" localSheetId="10">'Detail - proj debt C-3'!$A:$A,'Detail - proj debt C-3'!$1:$9</definedName>
    <definedName name="_xlnm.Print_Titles" localSheetId="6">'Wages - B'!$1:$3</definedName>
  </definedNames>
  <calcPr fullCalcOnLoad="1"/>
</workbook>
</file>

<file path=xl/sharedStrings.xml><?xml version="1.0" encoding="utf-8"?>
<sst xmlns="http://schemas.openxmlformats.org/spreadsheetml/2006/main" count="1658" uniqueCount="566">
  <si>
    <t>Upper Valley Disposal Service</t>
  </si>
  <si>
    <t>Rate Model Calculation</t>
  </si>
  <si>
    <t>Submitted May 1, 2007</t>
  </si>
  <si>
    <t>CPI &amp;</t>
  </si>
  <si>
    <t>Audited</t>
  </si>
  <si>
    <t>FY 12/06</t>
  </si>
  <si>
    <t>Projected</t>
  </si>
  <si>
    <t>or CPI</t>
  </si>
  <si>
    <t>Adjustment</t>
  </si>
  <si>
    <t>FY 12/07</t>
  </si>
  <si>
    <t>Operating Ratio</t>
  </si>
  <si>
    <t>Major Allowable Expenses</t>
  </si>
  <si>
    <t>(a)</t>
  </si>
  <si>
    <t>Wages &amp; related benefits</t>
  </si>
  <si>
    <t>(b)</t>
  </si>
  <si>
    <t>Depreciation on Contractor</t>
  </si>
  <si>
    <t xml:space="preserve">     owned assets</t>
  </si>
  <si>
    <t>New programs / modifications</t>
  </si>
  <si>
    <t>Other Allowable Non-Fuel Expenses</t>
  </si>
  <si>
    <t>Other Allowable Non-Fuel Exp</t>
  </si>
  <si>
    <t>Landfill Expense</t>
  </si>
  <si>
    <t>Fuel</t>
  </si>
  <si>
    <t>TOTAL ALLOWABLE EXPENSES</t>
  </si>
  <si>
    <t>Major Recoverable Expenses</t>
  </si>
  <si>
    <t>Prin &amp; interest on debt service</t>
  </si>
  <si>
    <t>Other Recoverable Expenses</t>
  </si>
  <si>
    <t>Development Expenses</t>
  </si>
  <si>
    <t>TOTAL RECOVERABLE EXPENSES</t>
  </si>
  <si>
    <t>TOTAL EXPENSES</t>
  </si>
  <si>
    <t>ACTUAL REVENUE COLLECTED</t>
  </si>
  <si>
    <t>Actual Net Revenue</t>
  </si>
  <si>
    <t>Revenue Increase (Decrease) Required</t>
  </si>
  <si>
    <t>Percentage Increase (Decrease) Required</t>
  </si>
  <si>
    <t>Wages</t>
  </si>
  <si>
    <t>Collection</t>
  </si>
  <si>
    <t>Shop</t>
  </si>
  <si>
    <t>Recycling</t>
  </si>
  <si>
    <t>General &amp; Admin</t>
  </si>
  <si>
    <t>Officers</t>
  </si>
  <si>
    <t>Payroll Taxes</t>
  </si>
  <si>
    <t>Workers Compensation</t>
  </si>
  <si>
    <t>Group Health Insurance</t>
  </si>
  <si>
    <t>Profit Sharing Plan</t>
  </si>
  <si>
    <t>G.L. a/c #</t>
  </si>
  <si>
    <t>Total Wages &amp; Related Benefits</t>
  </si>
  <si>
    <t>2006 Landfill fees</t>
  </si>
  <si>
    <t>New tipping fee - 5/1/07</t>
  </si>
  <si>
    <t>Previous tipping fee</t>
  </si>
  <si>
    <t>Increase</t>
  </si>
  <si>
    <t>Percentage</t>
  </si>
  <si>
    <t>Forecasted increase</t>
  </si>
  <si>
    <t>F/Y</t>
  </si>
  <si>
    <t>12/04</t>
  </si>
  <si>
    <t>12/05</t>
  </si>
  <si>
    <t>12/06</t>
  </si>
  <si>
    <t>12/07</t>
  </si>
  <si>
    <t>2003</t>
  </si>
  <si>
    <t>Base</t>
  </si>
  <si>
    <t>Year</t>
  </si>
  <si>
    <t>Truck Expense</t>
  </si>
  <si>
    <t>Vehicle fuel</t>
  </si>
  <si>
    <t>Shop Expense</t>
  </si>
  <si>
    <t>Oil &amp; fluids</t>
  </si>
  <si>
    <t>Total "base amount"</t>
  </si>
  <si>
    <t>Total Other Allowable Non-Fuel Exp</t>
  </si>
  <si>
    <t>Other Allowable Non-Fuel Expense</t>
  </si>
  <si>
    <t>Total base year Fuel Expense</t>
  </si>
  <si>
    <t>Allowable fuel exp</t>
  </si>
  <si>
    <t>Major</t>
  </si>
  <si>
    <t>Allowable</t>
  </si>
  <si>
    <t>Expense</t>
  </si>
  <si>
    <t>Per GL</t>
  </si>
  <si>
    <t>Exclude</t>
  </si>
  <si>
    <t>2007 Total Landfill Fees - forecasted</t>
  </si>
  <si>
    <t>Allowable - see below</t>
  </si>
  <si>
    <t>Other Recoverable Expense</t>
  </si>
  <si>
    <t>FY 12/03 Remaining Allowable Expenses per JPA rate model</t>
  </si>
  <si>
    <t xml:space="preserve">FY 12/03 Remaining Allowable Expenses </t>
  </si>
  <si>
    <t xml:space="preserve">     per Agency rate model</t>
  </si>
  <si>
    <t>XXX</t>
  </si>
  <si>
    <t>Contracts payable</t>
  </si>
  <si>
    <t>Comerica - mortgage</t>
  </si>
  <si>
    <t>CPCFA bonds payable</t>
  </si>
  <si>
    <t>Comerica - truck loan</t>
  </si>
  <si>
    <t>Loan</t>
  </si>
  <si>
    <t>Balances</t>
  </si>
  <si>
    <t>12/31/05</t>
  </si>
  <si>
    <t>Add'l</t>
  </si>
  <si>
    <t>Borowing</t>
  </si>
  <si>
    <t>12/31/06</t>
  </si>
  <si>
    <t>Pmts</t>
  </si>
  <si>
    <t>( #304, #307, #308 )</t>
  </si>
  <si>
    <t>( #312, #313 )</t>
  </si>
  <si>
    <t>Interest</t>
  </si>
  <si>
    <t>Exp</t>
  </si>
  <si>
    <t>Principal</t>
  </si>
  <si>
    <t>Collections</t>
  </si>
  <si>
    <t>Residential</t>
  </si>
  <si>
    <t>Commercial</t>
  </si>
  <si>
    <t>Miscellaneous</t>
  </si>
  <si>
    <t>Recycle Center Use Fee</t>
  </si>
  <si>
    <t>Affiliate hauling charges</t>
  </si>
  <si>
    <t>Curbside Recycling</t>
  </si>
  <si>
    <t>Affiliate Charges</t>
  </si>
  <si>
    <t>Affiliate shop services</t>
  </si>
  <si>
    <t>Affiliate admin fee</t>
  </si>
  <si>
    <t>Other Income</t>
  </si>
  <si>
    <t>Service / finance charges</t>
  </si>
  <si>
    <t>Interest income</t>
  </si>
  <si>
    <t>Interest income - affiliates</t>
  </si>
  <si>
    <t>Total revenues</t>
  </si>
  <si>
    <t>Required Net Revenue</t>
  </si>
  <si>
    <t>Interest exp - Affiliates</t>
  </si>
  <si>
    <t>Total interest exp</t>
  </si>
  <si>
    <t>Total Principal + Interest</t>
  </si>
  <si>
    <t>Additions</t>
  </si>
  <si>
    <t>Wash rack</t>
  </si>
  <si>
    <t>Cover</t>
  </si>
  <si>
    <t>New boxes &amp; toters</t>
  </si>
  <si>
    <t>2006 Wages &amp; Related Benefits</t>
  </si>
  <si>
    <t>Bob</t>
  </si>
  <si>
    <t>Marvin</t>
  </si>
  <si>
    <t>Total</t>
  </si>
  <si>
    <t>Salaries</t>
  </si>
  <si>
    <t>Other</t>
  </si>
  <si>
    <t>Medicare</t>
  </si>
  <si>
    <t>Payroll Taxes:</t>
  </si>
  <si>
    <t>Officers are covered in 2007, but are</t>
  </si>
  <si>
    <t>not included in forecast &amp; therefore</t>
  </si>
  <si>
    <t>Officers not covered in 2006.</t>
  </si>
  <si>
    <t>no need to eliminate</t>
  </si>
  <si>
    <t>Pmt</t>
  </si>
  <si>
    <t>Amt</t>
  </si>
  <si>
    <t>Medical -     11 pmts @</t>
  </si>
  <si>
    <t xml:space="preserve">                    1 pmt @</t>
  </si>
  <si>
    <t>Dental -     11 pmts @</t>
  </si>
  <si>
    <t xml:space="preserve">     Sub-total - medical &amp; dental</t>
  </si>
  <si>
    <t>2007</t>
  </si>
  <si>
    <t>Forecasted</t>
  </si>
  <si>
    <t>% of payroll</t>
  </si>
  <si>
    <t>Medical - Blue Cross</t>
  </si>
  <si>
    <t>Dental - Principal</t>
  </si>
  <si>
    <t>Prem</t>
  </si>
  <si>
    <t>2007 Forecated</t>
  </si>
  <si>
    <t>&amp; Int</t>
  </si>
  <si>
    <t>Life</t>
  </si>
  <si>
    <t>The Agency's rate model calculation for the fiscal year ended December 31, 2006 resulted in a</t>
  </si>
  <si>
    <t xml:space="preserve">Actual Deficiency per Agency's rate model calculation, based on a </t>
  </si>
  <si>
    <t>minimum revenue increase of 35.69%</t>
  </si>
  <si>
    <t>Actual Deficiency recovered from the 30% rate increase</t>
  </si>
  <si>
    <t>Actual revenue per rate model calculation</t>
  </si>
  <si>
    <t>Rate increase</t>
  </si>
  <si>
    <t>Balance to be recovered</t>
  </si>
  <si>
    <t xml:space="preserve"> Fuel Index ( see below)</t>
  </si>
  <si>
    <t>Fuel Index</t>
  </si>
  <si>
    <t>Change in diesel fuel prices</t>
  </si>
  <si>
    <t>Date</t>
  </si>
  <si>
    <t>Acquired</t>
  </si>
  <si>
    <t>Cost</t>
  </si>
  <si>
    <t>2008</t>
  </si>
  <si>
    <t>2009</t>
  </si>
  <si>
    <t>2010</t>
  </si>
  <si>
    <t>Years</t>
  </si>
  <si>
    <t>7/1/07</t>
  </si>
  <si>
    <t>Qty</t>
  </si>
  <si>
    <t>2 axle roll-off truck</t>
  </si>
  <si>
    <t>3 axle roll-off with 2010 engine specs</t>
  </si>
  <si>
    <t>Fork truck</t>
  </si>
  <si>
    <t>Driveway resurfacing</t>
  </si>
  <si>
    <t>Annual Depreciation</t>
  </si>
  <si>
    <t>Monthly</t>
  </si>
  <si>
    <t>Term</t>
  </si>
  <si>
    <t>Rate</t>
  </si>
  <si>
    <t>Debt Service (Prin &amp; Interest)</t>
  </si>
  <si>
    <t>Total depreciation - 2007</t>
  </si>
  <si>
    <t>Total New Programs</t>
  </si>
  <si>
    <t>Retro-fits for existing equipment</t>
  </si>
  <si>
    <t>10/1/07</t>
  </si>
  <si>
    <t>2006 wages</t>
  </si>
  <si>
    <t>2206</t>
  </si>
  <si>
    <t>Annual % increase - average</t>
  </si>
  <si>
    <t xml:space="preserve">     Reimbursed by employee</t>
  </si>
  <si>
    <t xml:space="preserve">     Total - medical &amp; dental</t>
  </si>
  <si>
    <t>Total Recoverable Landfill Fees</t>
  </si>
  <si>
    <t>Total Allowable Landfill Fees</t>
  </si>
  <si>
    <t>Allowable Landfill Fees</t>
  </si>
  <si>
    <t>Total Other Allowable Expenses</t>
  </si>
  <si>
    <t>Revenues</t>
  </si>
  <si>
    <t>2007 Depreciation - Existing Assets</t>
  </si>
  <si>
    <t>Landfill Fees</t>
  </si>
  <si>
    <t xml:space="preserve">Balance of 1/1/06 Rate Increase  </t>
  </si>
  <si>
    <t>calculated as follows:</t>
  </si>
  <si>
    <t xml:space="preserve">minimum revenue increase of 35.69%. However, the actual increase implemented as of 1/1/06 </t>
  </si>
  <si>
    <t>CPI Index</t>
  </si>
  <si>
    <t>Additonal yard rent (Rate Methodology pg B-8, item F (iii))</t>
  </si>
  <si>
    <t>Forecasted increase - effective 5/01/07</t>
  </si>
  <si>
    <t>4001.000 - 4004.000</t>
  </si>
  <si>
    <t>4051.000 - 4054.000</t>
  </si>
  <si>
    <t>4081.000 - 4084.000</t>
  </si>
  <si>
    <t>4125.000 - 4199.000</t>
  </si>
  <si>
    <t>Current</t>
  </si>
  <si>
    <t>Proposed</t>
  </si>
  <si>
    <t>Index Calculation</t>
  </si>
  <si>
    <t>CPI - SF-Oaklnad-SJ All Urban Consumers</t>
  </si>
  <si>
    <t>February Index - 93% of CPI</t>
  </si>
  <si>
    <t>OPIS - Fuel only (February)</t>
  </si>
  <si>
    <t>Buy-out of equipment leased from Pestoni Leasing Inc.</t>
  </si>
  <si>
    <t>New programs to be reviewed and evaluated</t>
  </si>
  <si>
    <t>New Programs</t>
  </si>
  <si>
    <t>Basic Residential Unit Cost - S.H.</t>
  </si>
  <si>
    <t>OPIS  Feb 1 standard diesel rack prices</t>
  </si>
  <si>
    <t>was only 30%. Therefore, the remaining 5.69% of the rate increase remains unrecovered and is</t>
  </si>
  <si>
    <t>(c)</t>
  </si>
  <si>
    <t>X-1</t>
  </si>
  <si>
    <t>X-2</t>
  </si>
  <si>
    <t>CFL rate becomes effective 7/1/07 - proration changed from 8 to 6 months in formula</t>
  </si>
  <si>
    <t>X-3</t>
  </si>
  <si>
    <t>Amount needs to be moved to projected depreciation at 1/2 of the 1st year depreciation;</t>
  </si>
  <si>
    <t>however, the amount moved is subject to supporting the amount claimed for purchase price of</t>
  </si>
  <si>
    <t>Leased Equipment Buy-Out - Pestoni Leasing</t>
  </si>
  <si>
    <t>Trucks</t>
  </si>
  <si>
    <t>1984 White Box Truck - #51</t>
  </si>
  <si>
    <t>1986 I.H. Box Truck - 26</t>
  </si>
  <si>
    <t>1980 I.H. cab &amp; chassis - #120</t>
  </si>
  <si>
    <t>Transfer trailer - #73</t>
  </si>
  <si>
    <t>1988 White GMC  - #152</t>
  </si>
  <si>
    <t>1988 White GMC Front  - #148</t>
  </si>
  <si>
    <t>1984 White GMC Box Truck - #153</t>
  </si>
  <si>
    <t>1988 White - #154</t>
  </si>
  <si>
    <t>Containers</t>
  </si>
  <si>
    <t>1 yard</t>
  </si>
  <si>
    <t>2 yard</t>
  </si>
  <si>
    <t>3 yard</t>
  </si>
  <si>
    <t>4 yard</t>
  </si>
  <si>
    <t>6 yard</t>
  </si>
  <si>
    <t>20 yard</t>
  </si>
  <si>
    <t>40 yard</t>
  </si>
  <si>
    <t>Other Equipment</t>
  </si>
  <si>
    <t>Mower</t>
  </si>
  <si>
    <t>100 Ton Jack</t>
  </si>
  <si>
    <t>Shearer</t>
  </si>
  <si>
    <t>3 Storage containers</t>
  </si>
  <si>
    <t>Filter tanks</t>
  </si>
  <si>
    <t>4 Yard Roll Dump</t>
  </si>
  <si>
    <t>Scotchman Ironworker</t>
  </si>
  <si>
    <t>2 Safe Cabinets</t>
  </si>
  <si>
    <t>Washrack Pump</t>
  </si>
  <si>
    <t>Hose Reel</t>
  </si>
  <si>
    <t>Hoist on Jib</t>
  </si>
  <si>
    <t>Self Contained Compactor</t>
  </si>
  <si>
    <t>Toter Dump Unit</t>
  </si>
  <si>
    <t>Powell Scale</t>
  </si>
  <si>
    <t>10,000 Gal Fuel Tank</t>
  </si>
  <si>
    <t>Fuel Station</t>
  </si>
  <si>
    <t>Wash Area Equipment</t>
  </si>
  <si>
    <t>5 year life?</t>
  </si>
  <si>
    <t xml:space="preserve">Requested Depreciation Schedule to Support Net Book Values or </t>
  </si>
  <si>
    <t>documentation that would support the cost of a similar purchase from unrelated</t>
  </si>
  <si>
    <t>Third Party.</t>
  </si>
  <si>
    <t>The amount of the buy-out would be added in a manner similar to new purchases.</t>
  </si>
  <si>
    <t>1/2 of the first year depreciation</t>
  </si>
  <si>
    <t>Recovery of 1/1/06 Rate Increase is not allowed per the current methodology</t>
  </si>
  <si>
    <t xml:space="preserve">No supporting documentation provided at the time of the rate submittal.  Based on e-mail </t>
  </si>
  <si>
    <t>from Steve Lederer, the program has not been developed.  A/C office communicated to UVA</t>
  </si>
  <si>
    <t>Manager information from Franchise Agreement and what initial information would be needed</t>
  </si>
  <si>
    <t>to determine the viability of the program.</t>
  </si>
  <si>
    <t>Q-1</t>
  </si>
  <si>
    <t>Q-2</t>
  </si>
  <si>
    <t>Describe the asset and provide estimates of new one from 3rd party source.</t>
  </si>
  <si>
    <t>Q-3</t>
  </si>
  <si>
    <t>How many square feet/yds was the parking area?  How many square feet/yds is the driveway?</t>
  </si>
  <si>
    <t xml:space="preserve">They appear to be financing all purchases; however, this is not </t>
  </si>
  <si>
    <t>normal operations.</t>
  </si>
  <si>
    <t xml:space="preserve">CPI has been 1 - 3% for the last 3 years.  How is 5% arrived at?  Requested </t>
  </si>
  <si>
    <t>Union Contract to support 5%.</t>
  </si>
  <si>
    <t>Note:</t>
  </si>
  <si>
    <t xml:space="preserve">The amount is for Insurance - Per the methodology - Insurance is covered under Other Allowable - Non-fuel expenses.  </t>
  </si>
  <si>
    <t>See R#3-1.2 for information from UVDS via e-mail.</t>
  </si>
  <si>
    <t>One-time adjustment only in 2007 - subsequent years can only be increased by CPI - verified amount to audited f/s</t>
  </si>
  <si>
    <t>Dividend Income</t>
  </si>
  <si>
    <t>Recalculation by Agency</t>
  </si>
  <si>
    <t>Difference</t>
  </si>
  <si>
    <t>Difference is immaterial pass</t>
  </si>
  <si>
    <t>Adjusted UVDS proposed by removing grey line</t>
  </si>
  <si>
    <t>a</t>
  </si>
  <si>
    <t>b</t>
  </si>
  <si>
    <t>A</t>
  </si>
  <si>
    <t>I</t>
  </si>
  <si>
    <t>J</t>
  </si>
  <si>
    <t>H</t>
  </si>
  <si>
    <t>G</t>
  </si>
  <si>
    <t>F</t>
  </si>
  <si>
    <t>E</t>
  </si>
  <si>
    <t>D</t>
  </si>
  <si>
    <t>C</t>
  </si>
  <si>
    <t>B</t>
  </si>
  <si>
    <t>Pro-rated for 6 months</t>
  </si>
  <si>
    <t>Changed clients submitted for information for X-1</t>
  </si>
  <si>
    <t>the assets - See C-1</t>
  </si>
  <si>
    <t>Also see Analytical review</t>
  </si>
  <si>
    <t>Change from submittal amount due to X-1 to X-3</t>
  </si>
  <si>
    <t>Per correspondence from Company, the trucks listed will be scrapped and replaced</t>
  </si>
  <si>
    <t>with the 4 trucks listed on the Depreciation tab</t>
  </si>
  <si>
    <t>has been subsequently supported with a 3rd party appraisal</t>
  </si>
  <si>
    <t xml:space="preserve">How many trucks are being retro-fitted - given the number of new purchases and proposed purchases?   </t>
  </si>
  <si>
    <t>UVDS has requested amount to be increased to 8 trucks at $20k each, originally 5 trucks at $20k each.</t>
  </si>
  <si>
    <t xml:space="preserve">Invoices provided - however, clarification on whether its one or two buildings and if part of the paperwork received had been supersede </t>
  </si>
  <si>
    <t>with the new cost estimate of $404k</t>
  </si>
  <si>
    <t>From</t>
  </si>
  <si>
    <t>Received verification of prices from 3rd hired by UVDS</t>
  </si>
  <si>
    <t>Shop truck &amp; equipment (crane truck)</t>
  </si>
  <si>
    <t>originally calculated at 1/4 of first year depreciation, changed to 1/2 per methodology</t>
  </si>
  <si>
    <t>Mini-max trucks for rural areas</t>
  </si>
  <si>
    <t>Parking area 5,000 -- driveway 52,200</t>
  </si>
  <si>
    <t>Driveway is twice as expensive as parking area per sq. ft. without concrete work.  Why?</t>
  </si>
  <si>
    <t>What is the location of the driveway - north or east?  If east is Rutherford Grove Winery benefitting &amp; thus assisting with cost</t>
  </si>
  <si>
    <t xml:space="preserve">Purchase of equipment from Pestoni Leasing has been added to 'Depreciation" at 1/2 of the first year.  Amount of asset costs </t>
  </si>
  <si>
    <t>FICA (limit $94,200)</t>
  </si>
  <si>
    <t>FUTA (limit $7.000)</t>
  </si>
  <si>
    <t>SUI (limit $7.000)</t>
  </si>
  <si>
    <t>CAETT (limit $7.000)</t>
  </si>
  <si>
    <t>Agency Calculation</t>
  </si>
  <si>
    <t>Prior approved officer salaries and Benefits</t>
  </si>
  <si>
    <t>CPI</t>
  </si>
  <si>
    <t>Projected Salaries &amp; Bene for Officers</t>
  </si>
  <si>
    <t>Rate Increase:</t>
  </si>
  <si>
    <t>ST. HELENA RATE DETAIL</t>
  </si>
  <si>
    <t>CALISTOGA RATE DETAIL</t>
  </si>
  <si>
    <t>Franch Fee:</t>
  </si>
  <si>
    <t>YOUNTVILLE RATE DETAIL</t>
  </si>
  <si>
    <t>NAPA COUNTY RATE DETAIL</t>
  </si>
  <si>
    <t>POPE VALLEY RATE DETAIL</t>
  </si>
  <si>
    <t>Tot Incr:</t>
  </si>
  <si>
    <t>Assumed Weeks in Month:</t>
  </si>
  <si>
    <t>COMMERCIAL RATES</t>
  </si>
  <si>
    <t>RESIDENTIAL RATES</t>
  </si>
  <si>
    <t>COMMERCIAL RATES, continued</t>
  </si>
  <si>
    <t>Service</t>
  </si>
  <si>
    <t>Container Service</t>
  </si>
  <si>
    <t>Gate</t>
  </si>
  <si>
    <t>DIFFICULT AREAS</t>
  </si>
  <si>
    <t>1 - Pickup per week</t>
  </si>
  <si>
    <t>Roll-Off Boxes</t>
  </si>
  <si>
    <t>Roadside</t>
  </si>
  <si>
    <t>2 Yard</t>
  </si>
  <si>
    <t>4 Yard</t>
  </si>
  <si>
    <t>6 Yard</t>
  </si>
  <si>
    <t>Open</t>
  </si>
  <si>
    <t>Open/Cls</t>
  </si>
  <si>
    <t>Extra</t>
  </si>
  <si>
    <t>2-Yard</t>
  </si>
  <si>
    <t>Standard</t>
  </si>
  <si>
    <t>Times Per Week</t>
  </si>
  <si>
    <t>4-Yard</t>
  </si>
  <si>
    <t>Box/Tip</t>
  </si>
  <si>
    <t>To 130 feet</t>
  </si>
  <si>
    <t>6-Yard</t>
  </si>
  <si>
    <t>Trip/Heavy</t>
  </si>
  <si>
    <t>To 330 feet</t>
  </si>
  <si>
    <t>2 - Pickups per week</t>
  </si>
  <si>
    <t>Refused</t>
  </si>
  <si>
    <t>To 660 feet</t>
  </si>
  <si>
    <t>Same Day</t>
  </si>
  <si>
    <t>Saturday</t>
  </si>
  <si>
    <t>To 1056 feet</t>
  </si>
  <si>
    <t>Permanent Demurrage</t>
  </si>
  <si>
    <t>Extra-Pup</t>
  </si>
  <si>
    <t>To 1320 feet</t>
  </si>
  <si>
    <t>Temporary Demurrage</t>
  </si>
  <si>
    <t>Per Pickup</t>
  </si>
  <si>
    <t>Extra Pup-Sat/Holiday</t>
  </si>
  <si>
    <t>To 2640 feet</t>
  </si>
  <si>
    <t>Beyond Roadside to 130 Feet</t>
  </si>
  <si>
    <t>3 - Pickups per week</t>
  </si>
  <si>
    <t>Further</t>
  </si>
  <si>
    <t>(HAND CALCULATE)</t>
  </si>
  <si>
    <t>Extra Pickup</t>
  </si>
  <si>
    <t>To 130 Feet</t>
  </si>
  <si>
    <t xml:space="preserve"> </t>
  </si>
  <si>
    <t>Sat/Holiday</t>
  </si>
  <si>
    <t>Extra Pickup Saturday/Holiday</t>
  </si>
  <si>
    <t>Wheels</t>
  </si>
  <si>
    <t>Yard:</t>
  </si>
  <si>
    <t>Bin:</t>
  </si>
  <si>
    <t>4 - Pickups per week</t>
  </si>
  <si>
    <t>Perm Dem:</t>
  </si>
  <si>
    <t>Temp Dem:</t>
  </si>
  <si>
    <t>Cleanup Helper</t>
  </si>
  <si>
    <t>Weekday:</t>
  </si>
  <si>
    <t>Weekend:</t>
  </si>
  <si>
    <t>Steam Clean</t>
  </si>
  <si>
    <t>Rolloff Boxes</t>
  </si>
  <si>
    <t>Box&amp;TipChg</t>
  </si>
  <si>
    <t>Sameday</t>
  </si>
  <si>
    <t>In/Out</t>
  </si>
  <si>
    <t>Gate Fees</t>
  </si>
  <si>
    <t>Wheels (per month)</t>
  </si>
  <si>
    <t>5 - Pickups per week</t>
  </si>
  <si>
    <t>Concrete (per yard)</t>
  </si>
  <si>
    <t>Helper Weekday</t>
  </si>
  <si>
    <t>Helper Weekend</t>
  </si>
  <si>
    <t>In/Out (Un6mo)</t>
  </si>
  <si>
    <t>Demurrage:</t>
  </si>
  <si>
    <t>Concrete (per Yard)</t>
  </si>
  <si>
    <t>Sat Pickups</t>
  </si>
  <si>
    <t>Perm/Temp</t>
  </si>
  <si>
    <t>Trip</t>
  </si>
  <si>
    <t>Extra PU</t>
  </si>
  <si>
    <t>Saturday/Holiday</t>
  </si>
  <si>
    <t>Extra Pup</t>
  </si>
  <si>
    <t>Extra Pickup Sat/Hol.</t>
  </si>
  <si>
    <t>Trash Charge</t>
  </si>
  <si>
    <t>Weekday</t>
  </si>
  <si>
    <t>Per Yard</t>
  </si>
  <si>
    <t>Weekend</t>
  </si>
  <si>
    <t>Per Bin</t>
  </si>
  <si>
    <t>Steam Clean (each)</t>
  </si>
  <si>
    <t>Wheels (per Month)</t>
  </si>
  <si>
    <t xml:space="preserve">Service </t>
  </si>
  <si>
    <t>In/Out (under 6mos)</t>
  </si>
  <si>
    <t xml:space="preserve"> * Without  franchise fee</t>
  </si>
  <si>
    <t>65 gallon</t>
  </si>
  <si>
    <t>35 gallon</t>
  </si>
  <si>
    <t>95 gallon</t>
  </si>
  <si>
    <t>20 Yard Bin - "7.5 x 5.0 x 14.0"</t>
  </si>
  <si>
    <t>30 Yard Bin - "7.5 x 5.7 x 20.0"</t>
  </si>
  <si>
    <t>40 Yard Bin - "7.5 x 6.5 x 22.0"</t>
  </si>
  <si>
    <t>=</t>
  </si>
  <si>
    <t>Rate not previously approved by Board</t>
  </si>
  <si>
    <t>Standard 35 gallon base rate, less than or equal to 75 lbs, one pickup per week.</t>
  </si>
  <si>
    <t>Assumed Weeks in Month</t>
  </si>
  <si>
    <t>20 yard Bin - "7.5 x 5.0 x 14.0"</t>
  </si>
  <si>
    <t>40 yard Bin - "7.5 x 6.5 x 22.0"</t>
  </si>
  <si>
    <t>Demurrage</t>
  </si>
  <si>
    <t>30 yard Bin - "7.5 x 5.7 x 20.0"</t>
  </si>
  <si>
    <t>Standard 35 gallon can, less than or equal to 75 lbs, one pickup per week.</t>
  </si>
  <si>
    <t>Perm Dem</t>
  </si>
  <si>
    <t>Temp Dem</t>
  </si>
  <si>
    <t>35 gal. can, less 75lbs., 1x/week</t>
  </si>
  <si>
    <t>Two buildings - existing wash rack equipment will be used in the smaller building and the larger building is to cover the recycling</t>
  </si>
  <si>
    <t>Black top versus gravel</t>
  </si>
  <si>
    <t>East side - Winery does benefit.  UVA reduced 5%</t>
  </si>
  <si>
    <t>5 year life</t>
  </si>
  <si>
    <t>Per UVDS - 5 year life - transfer on 6/30/07</t>
  </si>
  <si>
    <t>UVA Change made</t>
  </si>
  <si>
    <t>Changed from UVDS original submittal per UVDS request</t>
  </si>
  <si>
    <t>Changed by UVA</t>
  </si>
  <si>
    <t xml:space="preserve">Not an union shop - Per ARP - wages changed on an average of 3.5% </t>
  </si>
  <si>
    <t>UVA used 3.5% substantiated by CPI at 3%.</t>
  </si>
  <si>
    <t>and Per amendment to Franchise agreement.</t>
  </si>
  <si>
    <t>Added to Client submitted information - per audited financial statements</t>
  </si>
  <si>
    <t xml:space="preserve">area.  </t>
  </si>
  <si>
    <t xml:space="preserve">Financing based on the approximate life of the asset versus length of </t>
  </si>
  <si>
    <t>financing - pass on further analysis</t>
  </si>
  <si>
    <t>See supporting work papers - amounts changed by UVA</t>
  </si>
  <si>
    <t>wp ref</t>
  </si>
  <si>
    <t>The nexus of having the rate payers pay for a program at CFL is still pending.</t>
  </si>
  <si>
    <t>Amendment #3 will adjust for revenue being accounted for twice.   Once in Total Revenue</t>
  </si>
  <si>
    <t>and once as offset to Other Allowable Non-Fuel Expenses.</t>
  </si>
  <si>
    <t xml:space="preserve">Amendment #3 will adjust for UVDS being reimbursed by the ratepayers for an asset twice.   Once through depreciation </t>
  </si>
  <si>
    <t>and once through the principal portion of debt.</t>
  </si>
  <si>
    <t>pending breakdown of principal and interest - only interest will be included.</t>
  </si>
  <si>
    <t>Open Gate</t>
  </si>
  <si>
    <t>Open and Closed Gate</t>
  </si>
  <si>
    <t>Private Property</t>
  </si>
  <si>
    <t>Rate Model Calculation - Principal &amp; Interest</t>
  </si>
  <si>
    <t>Borrowing rate</t>
  </si>
  <si>
    <t>CARB Retrofits</t>
  </si>
  <si>
    <t>Wash Rack Cover</t>
  </si>
  <si>
    <t>Recycling Area Cover</t>
  </si>
  <si>
    <t>New Boxes &amp; Toters</t>
  </si>
  <si>
    <t>2 Axle Roll-Off Truck</t>
  </si>
  <si>
    <t>3 Axle Roll-Off with 2010 Engine Specs</t>
  </si>
  <si>
    <t>Fork Truck</t>
  </si>
  <si>
    <t>Shop Truck &amp; Equipment</t>
  </si>
  <si>
    <t>Driveway Resurfacing</t>
  </si>
  <si>
    <t>Mimi-max Trucks for Rural Areas</t>
  </si>
  <si>
    <t>Payment</t>
  </si>
  <si>
    <t>Balance</t>
  </si>
  <si>
    <t>Debt</t>
  </si>
  <si>
    <t>Beg balance</t>
  </si>
  <si>
    <t>Through 12/31/07</t>
  </si>
  <si>
    <t>July 1 - Dec 31, 2007</t>
  </si>
  <si>
    <t>Wash rack cover</t>
  </si>
  <si>
    <t>Recycling area cover</t>
  </si>
  <si>
    <t>Shop truck &amp; equipment</t>
  </si>
  <si>
    <t>Mimi-max trucks for rural areas</t>
  </si>
  <si>
    <t>Totals</t>
  </si>
  <si>
    <t>Less Principal</t>
  </si>
  <si>
    <t>Interest - Capital Additions</t>
  </si>
  <si>
    <t>Total debt service (Interest Only)</t>
  </si>
  <si>
    <t>Changed by UVA based on expected amendment to methodology</t>
  </si>
  <si>
    <t>C-2</t>
  </si>
  <si>
    <t>C-3.1</t>
  </si>
  <si>
    <t>C-3.3</t>
  </si>
  <si>
    <t>C-3.5</t>
  </si>
  <si>
    <t>C-3.7</t>
  </si>
  <si>
    <t>C-3.9</t>
  </si>
  <si>
    <t>verified to letter of substantiation from UVDS</t>
  </si>
  <si>
    <t>Columns will be hidden for Bd</t>
  </si>
  <si>
    <t>New</t>
  </si>
  <si>
    <t>Monthly Rate</t>
  </si>
  <si>
    <t>Qtrly Rate</t>
  </si>
  <si>
    <t>Wkly Rate</t>
  </si>
  <si>
    <t>Extra Minimum Chg. Per 35 gal. container</t>
  </si>
  <si>
    <t>Beyond Roadside to 130 Feet (Private Property)</t>
  </si>
  <si>
    <t>Custom Walk-in Service</t>
  </si>
  <si>
    <t>Rows will be hidden for Bd</t>
  </si>
  <si>
    <t>NOTES:</t>
  </si>
  <si>
    <t>1) Every SINGLE CAN customer gets 1 96 gal Recycling and 1 96 gal Clean Green toter at no charge.</t>
  </si>
  <si>
    <t>4) Additional blue &amp; green toters are charged 75% of the refuse rate.BASED ON 96GAL</t>
  </si>
  <si>
    <t>5) Single Stream is a curbside program unless Custom Walk In Service is provided</t>
  </si>
  <si>
    <t>6) Clean Green is a curbside program unless Custom Walk In Service is provided</t>
  </si>
  <si>
    <t>MIXED RECYCLING</t>
  </si>
  <si>
    <t xml:space="preserve"> 2 YARD</t>
  </si>
  <si>
    <t xml:space="preserve"> 4 YARD</t>
  </si>
  <si>
    <t xml:space="preserve"> 6 YARD</t>
  </si>
  <si>
    <t>1X WEEK</t>
  </si>
  <si>
    <t>2X WEEK</t>
  </si>
  <si>
    <t>GREEN WASTE</t>
  </si>
  <si>
    <t>2 YARD</t>
  </si>
  <si>
    <t>4 YARD</t>
  </si>
  <si>
    <t>6 YARD</t>
  </si>
  <si>
    <t>(4Y G0)</t>
  </si>
  <si>
    <t>Additional Blue Recycling or Clean Green Carts</t>
  </si>
  <si>
    <t>Rates are based on 400 pounds per cubic yard. Overages will be charged 2.7 cents per pound.</t>
  </si>
  <si>
    <t>All commercial customers are entitled to ONE free 96 gallon Blue and ONE free 96 gallon Green</t>
  </si>
  <si>
    <t>Additional Recycling or Clean Green charges are shown above.</t>
  </si>
  <si>
    <t>Mixed Recycling (Trash rate X .75=Rate)  Greenwaste (Trash rate X .68=Rate)</t>
  </si>
  <si>
    <t>Recycling is a CURBSIDE program.  See mgmt if customer wants drive in service for recycling</t>
  </si>
  <si>
    <t>Trash charge for compactors used will be listed trash charge times MFGR's compaction ratio.</t>
  </si>
  <si>
    <t>Mixed Recycling and Greenwaste</t>
  </si>
  <si>
    <t># Cans or Pulls at a minimum of 96 gallons</t>
  </si>
  <si>
    <t>Current Monthly Rate</t>
  </si>
  <si>
    <t>2007 New Monthly Rate</t>
  </si>
  <si>
    <r>
      <t xml:space="preserve">(2Y </t>
    </r>
    <r>
      <rPr>
        <i/>
        <sz val="8"/>
        <rFont val="Arial"/>
        <family val="2"/>
      </rPr>
      <t>R0</t>
    </r>
    <r>
      <rPr>
        <sz val="8"/>
        <rFont val="Arial"/>
        <family val="2"/>
      </rPr>
      <t>)</t>
    </r>
  </si>
  <si>
    <r>
      <t xml:space="preserve">(4Y </t>
    </r>
    <r>
      <rPr>
        <i/>
        <sz val="8"/>
        <rFont val="Arial"/>
        <family val="2"/>
      </rPr>
      <t>R0</t>
    </r>
    <r>
      <rPr>
        <sz val="8"/>
        <rFont val="Arial"/>
        <family val="2"/>
      </rPr>
      <t>)</t>
    </r>
  </si>
  <si>
    <r>
      <t xml:space="preserve">(6Y </t>
    </r>
    <r>
      <rPr>
        <i/>
        <sz val="8"/>
        <rFont val="Arial"/>
        <family val="2"/>
      </rPr>
      <t>R0</t>
    </r>
    <r>
      <rPr>
        <sz val="8"/>
        <rFont val="Arial"/>
        <family val="2"/>
      </rPr>
      <t>)</t>
    </r>
  </si>
  <si>
    <r>
      <t xml:space="preserve">(2Y </t>
    </r>
    <r>
      <rPr>
        <i/>
        <u val="singleAccounting"/>
        <sz val="8"/>
        <rFont val="Arial"/>
        <family val="2"/>
      </rPr>
      <t>G0</t>
    </r>
    <r>
      <rPr>
        <u val="singleAccounting"/>
        <sz val="8"/>
        <rFont val="Arial"/>
        <family val="2"/>
      </rPr>
      <t>)</t>
    </r>
  </si>
  <si>
    <r>
      <t>(6Y</t>
    </r>
    <r>
      <rPr>
        <i/>
        <u val="singleAccounting"/>
        <sz val="8"/>
        <rFont val="Arial"/>
        <family val="2"/>
      </rPr>
      <t xml:space="preserve"> </t>
    </r>
    <r>
      <rPr>
        <u val="singleAccounting"/>
        <sz val="8"/>
        <rFont val="Arial"/>
        <family val="2"/>
      </rPr>
      <t>G0)</t>
    </r>
  </si>
  <si>
    <t>New Monthly</t>
  </si>
  <si>
    <t xml:space="preserve"> W/Fee</t>
  </si>
  <si>
    <t xml:space="preserve">Current </t>
  </si>
  <si>
    <t>Monthly Rate*</t>
  </si>
  <si>
    <t>Custom Walk-In Service</t>
  </si>
  <si>
    <t>(Driver walks in, picks up all 3 "cans" and returns</t>
  </si>
  <si>
    <t>them to customer location)</t>
  </si>
  <si>
    <t>Demurrage (per yard)</t>
  </si>
  <si>
    <t>Demurrage (per bin)</t>
  </si>
  <si>
    <t>per week</t>
  </si>
  <si>
    <t>per day</t>
  </si>
  <si>
    <t>RESIDENTIAL RATES, continued</t>
  </si>
  <si>
    <t>In/Out (Under 6 months)</t>
  </si>
  <si>
    <t>Recycle Toter Demurrage</t>
  </si>
  <si>
    <t>Curbside to 660 feet</t>
  </si>
  <si>
    <t xml:space="preserve">Demurrage </t>
  </si>
  <si>
    <t>Napa County</t>
  </si>
  <si>
    <t>Yountville</t>
  </si>
  <si>
    <t>POPE VALLEY</t>
  </si>
  <si>
    <t>SPECIAL SERVICES</t>
  </si>
  <si>
    <t>Special Fork Truck Service</t>
  </si>
  <si>
    <t>per Hour</t>
  </si>
  <si>
    <t>Stop/Start Redelivery Fee</t>
  </si>
  <si>
    <t>Stop/Start Administrative Fee</t>
  </si>
  <si>
    <t>per occurance</t>
  </si>
  <si>
    <t>Analysis by consultant of new program (actual as of 9/7/07)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</si>
</sst>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%"/>
    <numFmt numFmtId="165" formatCode="#,##0.00000_);\(#,##0.00000\)"/>
    <numFmt numFmtId="166" formatCode="0.0%"/>
    <numFmt numFmtId="167" formatCode="0_);\(0\)"/>
    <numFmt numFmtId="168" formatCode="#,##0.0000000_);\(#,##0.0000000\)"/>
    <numFmt numFmtId="169" formatCode="_(* #,##0.000000_);_(* \(#,##0.000000\);_(* &quot;-&quot;??????_);_(@_)"/>
    <numFmt numFmtId="170" formatCode="#,##0.000000_);\(#,##0.000000\)"/>
    <numFmt numFmtId="171" formatCode="#,##0.000_);[Red]\(#,##0.000\)"/>
    <numFmt numFmtId="172" formatCode="_(* #,##0.000_);_(* \(#,##0.000\);_(* &quot;-&quot;???_);_(@_)"/>
    <numFmt numFmtId="173" formatCode="0.000_);\(0.000\)"/>
    <numFmt numFmtId="174" formatCode="0.000"/>
    <numFmt numFmtId="175" formatCode="0.00_);\(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#,##0.000"/>
    <numFmt numFmtId="184" formatCode="#,##0.0000"/>
    <numFmt numFmtId="185" formatCode="hh:mm:ss\ AM/PM_)"/>
    <numFmt numFmtId="186" formatCode="0.00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u val="singleAccounting"/>
      <sz val="8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Accounting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3" fontId="1" fillId="0" borderId="0" xfId="0" applyNumberFormat="1" applyFont="1" applyAlignment="1" quotePrefix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 quotePrefix="1">
      <alignment horizontal="center"/>
    </xf>
    <xf numFmtId="41" fontId="0" fillId="0" borderId="3" xfId="0" applyNumberFormat="1" applyBorder="1" applyAlignment="1">
      <alignment/>
    </xf>
    <xf numFmtId="41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1" fontId="1" fillId="0" borderId="1" xfId="0" applyNumberFormat="1" applyFont="1" applyBorder="1" applyAlignment="1" quotePrefix="1">
      <alignment horizontal="center"/>
    </xf>
    <xf numFmtId="41" fontId="1" fillId="0" borderId="0" xfId="0" applyNumberFormat="1" applyFont="1" applyBorder="1" applyAlignment="1" quotePrefix="1">
      <alignment horizontal="center"/>
    </xf>
    <xf numFmtId="167" fontId="1" fillId="0" borderId="1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1" fontId="5" fillId="0" borderId="0" xfId="0" applyNumberFormat="1" applyFont="1" applyAlignment="1">
      <alignment/>
    </xf>
    <xf numFmtId="41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174" fontId="0" fillId="0" borderId="0" xfId="0" applyNumberFormat="1" applyAlignment="1">
      <alignment/>
    </xf>
    <xf numFmtId="41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Alignment="1">
      <alignment horizontal="center"/>
    </xf>
    <xf numFmtId="175" fontId="0" fillId="0" borderId="1" xfId="0" applyNumberForma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7" fillId="0" borderId="1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1" xfId="0" applyNumberFormat="1" applyBorder="1" applyAlignment="1">
      <alignment/>
    </xf>
    <xf numFmtId="174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 horizontal="center"/>
    </xf>
    <xf numFmtId="41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41" fontId="8" fillId="0" borderId="0" xfId="0" applyNumberFormat="1" applyFont="1" applyAlignment="1">
      <alignment horizontal="right"/>
    </xf>
    <xf numFmtId="0" fontId="4" fillId="2" borderId="0" xfId="0" applyFont="1" applyFill="1" applyAlignment="1">
      <alignment/>
    </xf>
    <xf numFmtId="41" fontId="0" fillId="2" borderId="0" xfId="0" applyNumberFormat="1" applyFill="1" applyBorder="1" applyAlignment="1">
      <alignment/>
    </xf>
    <xf numFmtId="41" fontId="1" fillId="2" borderId="0" xfId="0" applyNumberFormat="1" applyFont="1" applyFill="1" applyAlignment="1">
      <alignment horizontal="center"/>
    </xf>
    <xf numFmtId="177" fontId="0" fillId="0" borderId="0" xfId="15" applyNumberFormat="1" applyAlignment="1">
      <alignment horizontal="center"/>
    </xf>
    <xf numFmtId="0" fontId="8" fillId="0" borderId="0" xfId="0" applyFont="1" applyAlignment="1">
      <alignment horizontal="center"/>
    </xf>
    <xf numFmtId="41" fontId="0" fillId="0" borderId="0" xfId="0" applyNumberFormat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0" xfId="0" applyNumberFormat="1" applyAlignment="1">
      <alignment horizontal="left" indent="1"/>
    </xf>
    <xf numFmtId="41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79" fontId="0" fillId="0" borderId="0" xfId="0" applyNumberFormat="1" applyAlignment="1">
      <alignment/>
    </xf>
    <xf numFmtId="4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41" fontId="0" fillId="4" borderId="0" xfId="0" applyNumberFormat="1" applyFill="1" applyAlignment="1">
      <alignment/>
    </xf>
    <xf numFmtId="41" fontId="8" fillId="0" borderId="0" xfId="0" applyNumberFormat="1" applyFont="1" applyAlignment="1">
      <alignment/>
    </xf>
    <xf numFmtId="41" fontId="0" fillId="4" borderId="1" xfId="0" applyNumberFormat="1" applyFill="1" applyBorder="1" applyAlignment="1">
      <alignment/>
    </xf>
    <xf numFmtId="0" fontId="10" fillId="0" borderId="0" xfId="0" applyFont="1" applyAlignment="1">
      <alignment/>
    </xf>
    <xf numFmtId="41" fontId="0" fillId="0" borderId="0" xfId="0" applyNumberFormat="1" applyFill="1" applyBorder="1" applyAlignment="1">
      <alignment/>
    </xf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43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 indent="1"/>
    </xf>
    <xf numFmtId="44" fontId="0" fillId="0" borderId="4" xfId="17" applyBorder="1" applyAlignment="1">
      <alignment/>
    </xf>
    <xf numFmtId="44" fontId="0" fillId="0" borderId="0" xfId="0" applyNumberFormat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Border="1" applyAlignment="1">
      <alignment horizontal="centerContinuous"/>
    </xf>
    <xf numFmtId="44" fontId="3" fillId="0" borderId="0" xfId="17" applyFont="1" applyFill="1" applyBorder="1" applyAlignment="1">
      <alignment/>
    </xf>
    <xf numFmtId="44" fontId="13" fillId="0" borderId="0" xfId="17" applyFont="1" applyFill="1" applyBorder="1" applyAlignment="1">
      <alignment horizontal="center"/>
    </xf>
    <xf numFmtId="44" fontId="15" fillId="0" borderId="0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left"/>
    </xf>
    <xf numFmtId="44" fontId="3" fillId="0" borderId="0" xfId="17" applyFont="1" applyFill="1" applyBorder="1" applyAlignment="1">
      <alignment horizontal="centerContinuous"/>
    </xf>
    <xf numFmtId="44" fontId="13" fillId="0" borderId="0" xfId="17" applyFont="1" applyFill="1" applyBorder="1" applyAlignment="1">
      <alignment horizontal="right"/>
    </xf>
    <xf numFmtId="44" fontId="3" fillId="0" borderId="0" xfId="17" applyFont="1" applyFill="1" applyBorder="1" applyAlignment="1">
      <alignment horizontal="right"/>
    </xf>
    <xf numFmtId="44" fontId="3" fillId="0" borderId="0" xfId="17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3" fontId="3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44" fontId="3" fillId="5" borderId="0" xfId="17" applyFont="1" applyFill="1" applyBorder="1" applyAlignment="1">
      <alignment/>
    </xf>
    <xf numFmtId="0" fontId="3" fillId="0" borderId="0" xfId="0" applyFont="1" applyBorder="1" applyAlignment="1">
      <alignment horizontal="center"/>
    </xf>
    <xf numFmtId="44" fontId="16" fillId="0" borderId="0" xfId="17" applyFont="1" applyFill="1" applyBorder="1" applyAlignment="1">
      <alignment/>
    </xf>
    <xf numFmtId="44" fontId="16" fillId="0" borderId="0" xfId="17" applyFont="1" applyFill="1" applyBorder="1" applyAlignment="1">
      <alignment horizontal="center"/>
    </xf>
    <xf numFmtId="44" fontId="3" fillId="5" borderId="0" xfId="17" applyFont="1" applyFill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17" applyAlignment="1">
      <alignment/>
    </xf>
    <xf numFmtId="44" fontId="0" fillId="0" borderId="3" xfId="17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left" indent="1"/>
    </xf>
    <xf numFmtId="41" fontId="0" fillId="4" borderId="3" xfId="0" applyNumberFormat="1" applyFill="1" applyBorder="1" applyAlignment="1">
      <alignment/>
    </xf>
    <xf numFmtId="43" fontId="1" fillId="4" borderId="3" xfId="0" applyNumberFormat="1" applyFont="1" applyFill="1" applyBorder="1" applyAlignment="1">
      <alignment/>
    </xf>
    <xf numFmtId="41" fontId="0" fillId="4" borderId="0" xfId="0" applyNumberFormat="1" applyFill="1" applyBorder="1" applyAlignment="1">
      <alignment/>
    </xf>
    <xf numFmtId="41" fontId="17" fillId="0" borderId="0" xfId="0" applyNumberFormat="1" applyFont="1" applyAlignment="1">
      <alignment horizontal="left" indent="1"/>
    </xf>
    <xf numFmtId="0" fontId="9" fillId="0" borderId="0" xfId="0" applyFont="1" applyBorder="1" applyAlignment="1">
      <alignment horizontal="center"/>
    </xf>
    <xf numFmtId="43" fontId="0" fillId="0" borderId="0" xfId="15" applyBorder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41" fontId="0" fillId="2" borderId="1" xfId="0" applyNumberFormat="1" applyFill="1" applyBorder="1" applyAlignment="1">
      <alignment/>
    </xf>
    <xf numFmtId="4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right"/>
    </xf>
    <xf numFmtId="41" fontId="0" fillId="2" borderId="3" xfId="0" applyNumberFormat="1" applyFill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5" fontId="1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0" fillId="4" borderId="0" xfId="0" applyNumberFormat="1" applyFill="1" applyAlignment="1">
      <alignment horizontal="left"/>
    </xf>
    <xf numFmtId="41" fontId="1" fillId="0" borderId="1" xfId="0" applyNumberFormat="1" applyFont="1" applyFill="1" applyBorder="1" applyAlignment="1" quotePrefix="1">
      <alignment horizontal="center"/>
    </xf>
    <xf numFmtId="0" fontId="10" fillId="4" borderId="0" xfId="0" applyFont="1" applyFill="1" applyBorder="1" applyAlignment="1">
      <alignment horizontal="right"/>
    </xf>
    <xf numFmtId="40" fontId="10" fillId="4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5" fontId="3" fillId="0" borderId="0" xfId="0" applyNumberFormat="1" applyFont="1" applyFill="1" applyAlignment="1" applyProtection="1">
      <alignment/>
      <protection/>
    </xf>
    <xf numFmtId="0" fontId="3" fillId="5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3" fontId="3" fillId="5" borderId="0" xfId="0" applyNumberFormat="1" applyFont="1" applyFill="1" applyBorder="1" applyAlignment="1">
      <alignment horizontal="center"/>
    </xf>
    <xf numFmtId="1" fontId="12" fillId="5" borderId="0" xfId="0" applyNumberFormat="1" applyFont="1" applyFill="1" applyBorder="1" applyAlignment="1">
      <alignment horizontal="center"/>
    </xf>
    <xf numFmtId="10" fontId="3" fillId="5" borderId="0" xfId="21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83" fontId="3" fillId="5" borderId="0" xfId="0" applyNumberFormat="1" applyFont="1" applyFill="1" applyBorder="1" applyAlignment="1">
      <alignment/>
    </xf>
    <xf numFmtId="3" fontId="12" fillId="5" borderId="0" xfId="0" applyNumberFormat="1" applyFont="1" applyFill="1" applyBorder="1" applyAlignment="1">
      <alignment/>
    </xf>
    <xf numFmtId="3" fontId="12" fillId="5" borderId="0" xfId="0" applyNumberFormat="1" applyFont="1" applyFill="1" applyBorder="1" applyAlignment="1">
      <alignment horizontal="left"/>
    </xf>
    <xf numFmtId="3" fontId="13" fillId="5" borderId="0" xfId="0" applyNumberFormat="1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5" borderId="0" xfId="0" applyFont="1" applyFill="1" applyAlignment="1">
      <alignment/>
    </xf>
    <xf numFmtId="0" fontId="13" fillId="5" borderId="0" xfId="0" applyFont="1" applyFill="1" applyAlignment="1" applyProtection="1">
      <alignment horizontal="center"/>
      <protection/>
    </xf>
    <xf numFmtId="0" fontId="3" fillId="5" borderId="0" xfId="0" applyFont="1" applyFill="1" applyAlignment="1">
      <alignment horizontal="left"/>
    </xf>
    <xf numFmtId="44" fontId="3" fillId="5" borderId="0" xfId="17" applyFont="1" applyFill="1" applyAlignment="1" applyProtection="1">
      <alignment horizontal="right"/>
      <protection/>
    </xf>
    <xf numFmtId="0" fontId="3" fillId="5" borderId="0" xfId="0" applyFont="1" applyFill="1" applyAlignment="1" applyProtection="1">
      <alignment horizontal="left"/>
      <protection/>
    </xf>
    <xf numFmtId="39" fontId="3" fillId="5" borderId="0" xfId="15" applyNumberFormat="1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43" fontId="3" fillId="5" borderId="0" xfId="15" applyFont="1" applyFill="1" applyAlignment="1" applyProtection="1">
      <alignment horizontal="center"/>
      <protection/>
    </xf>
    <xf numFmtId="0" fontId="13" fillId="5" borderId="0" xfId="0" applyFont="1" applyFill="1" applyAlignment="1" applyProtection="1">
      <alignment horizontal="left"/>
      <protection/>
    </xf>
    <xf numFmtId="43" fontId="16" fillId="5" borderId="0" xfId="15" applyFont="1" applyFill="1" applyAlignment="1" applyProtection="1">
      <alignment horizontal="center"/>
      <protection/>
    </xf>
    <xf numFmtId="44" fontId="3" fillId="5" borderId="0" xfId="17" applyFont="1" applyFill="1" applyAlignment="1">
      <alignment horizontal="right"/>
    </xf>
    <xf numFmtId="185" fontId="14" fillId="0" borderId="0" xfId="0" applyNumberFormat="1" applyFont="1" applyFill="1" applyAlignment="1" applyProtection="1">
      <alignment horizontal="left"/>
      <protection/>
    </xf>
    <xf numFmtId="43" fontId="3" fillId="0" borderId="0" xfId="15" applyFont="1" applyFill="1" applyAlignment="1" applyProtection="1">
      <alignment/>
      <protection/>
    </xf>
    <xf numFmtId="186" fontId="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Border="1" applyAlignment="1">
      <alignment horizontal="left"/>
    </xf>
    <xf numFmtId="44" fontId="3" fillId="0" borderId="0" xfId="17" applyFont="1" applyBorder="1" applyAlignment="1">
      <alignment/>
    </xf>
    <xf numFmtId="3" fontId="3" fillId="5" borderId="0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4" fillId="5" borderId="0" xfId="0" applyNumberFormat="1" applyFont="1" applyFill="1" applyBorder="1" applyAlignment="1">
      <alignment horizontal="center"/>
    </xf>
    <xf numFmtId="1" fontId="14" fillId="5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9" fontId="14" fillId="5" borderId="0" xfId="15" applyNumberFormat="1" applyFont="1" applyFill="1" applyAlignment="1" applyProtection="1">
      <alignment horizontal="center"/>
      <protection/>
    </xf>
    <xf numFmtId="0" fontId="14" fillId="5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3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44" fontId="3" fillId="0" borderId="0" xfId="17" applyFont="1" applyFill="1" applyBorder="1" applyAlignment="1">
      <alignment horizontal="center"/>
    </xf>
    <xf numFmtId="41" fontId="3" fillId="0" borderId="0" xfId="0" applyNumberFormat="1" applyFont="1" applyAlignment="1">
      <alignment horizontal="center" textRotation="25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45</xdr:row>
      <xdr:rowOff>0</xdr:rowOff>
    </xdr:from>
    <xdr:to>
      <xdr:col>10</xdr:col>
      <xdr:colOff>152400</xdr:colOff>
      <xdr:row>45</xdr:row>
      <xdr:rowOff>152400</xdr:rowOff>
    </xdr:to>
    <xdr:pic>
      <xdr:nvPicPr>
        <xdr:cNvPr id="1" name="PPCTickmark_B878-F3-F5-6F1F81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741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600075</xdr:colOff>
      <xdr:row>13</xdr:row>
      <xdr:rowOff>0</xdr:rowOff>
    </xdr:from>
    <xdr:to>
      <xdr:col>14</xdr:col>
      <xdr:colOff>752475</xdr:colOff>
      <xdr:row>13</xdr:row>
      <xdr:rowOff>152400</xdr:rowOff>
    </xdr:to>
    <xdr:pic>
      <xdr:nvPicPr>
        <xdr:cNvPr id="2" name="PPCTickmark_5BE4-88-CE-916F4D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24</xdr:row>
      <xdr:rowOff>0</xdr:rowOff>
    </xdr:from>
    <xdr:to>
      <xdr:col>11</xdr:col>
      <xdr:colOff>38100</xdr:colOff>
      <xdr:row>24</xdr:row>
      <xdr:rowOff>152400</xdr:rowOff>
    </xdr:to>
    <xdr:pic>
      <xdr:nvPicPr>
        <xdr:cNvPr id="1" name="PPCTickmark_9C09-E1-92-AF009F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152400</xdr:rowOff>
    </xdr:to>
    <xdr:pic>
      <xdr:nvPicPr>
        <xdr:cNvPr id="2" name="PPCTickmark_88AE-8F-1E-FD302D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67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0</xdr:colOff>
      <xdr:row>14</xdr:row>
      <xdr:rowOff>0</xdr:rowOff>
    </xdr:from>
    <xdr:to>
      <xdr:col>21</xdr:col>
      <xdr:colOff>38100</xdr:colOff>
      <xdr:row>14</xdr:row>
      <xdr:rowOff>152400</xdr:rowOff>
    </xdr:to>
    <xdr:pic>
      <xdr:nvPicPr>
        <xdr:cNvPr id="3" name="PPCTickmark_D789-0D-C5-AD8C83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0</xdr:colOff>
      <xdr:row>16</xdr:row>
      <xdr:rowOff>0</xdr:rowOff>
    </xdr:from>
    <xdr:to>
      <xdr:col>21</xdr:col>
      <xdr:colOff>38100</xdr:colOff>
      <xdr:row>16</xdr:row>
      <xdr:rowOff>152400</xdr:rowOff>
    </xdr:to>
    <xdr:pic>
      <xdr:nvPicPr>
        <xdr:cNvPr id="4" name="PPCTickmark_7AED-4E-42-E08DAF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0</xdr:colOff>
      <xdr:row>24</xdr:row>
      <xdr:rowOff>0</xdr:rowOff>
    </xdr:from>
    <xdr:to>
      <xdr:col>21</xdr:col>
      <xdr:colOff>38100</xdr:colOff>
      <xdr:row>24</xdr:row>
      <xdr:rowOff>152400</xdr:rowOff>
    </xdr:to>
    <xdr:pic>
      <xdr:nvPicPr>
        <xdr:cNvPr id="5" name="PPCTickmark_0CA0-9D-3F-95566D2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0</xdr:colOff>
      <xdr:row>20</xdr:row>
      <xdr:rowOff>0</xdr:rowOff>
    </xdr:from>
    <xdr:to>
      <xdr:col>21</xdr:col>
      <xdr:colOff>38100</xdr:colOff>
      <xdr:row>20</xdr:row>
      <xdr:rowOff>152400</xdr:rowOff>
    </xdr:to>
    <xdr:pic>
      <xdr:nvPicPr>
        <xdr:cNvPr id="6" name="PPCTickmark_375E-55-B0-347E46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332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13</xdr:row>
      <xdr:rowOff>9525</xdr:rowOff>
    </xdr:from>
    <xdr:to>
      <xdr:col>8</xdr:col>
      <xdr:colOff>581025</xdr:colOff>
      <xdr:row>13</xdr:row>
      <xdr:rowOff>161925</xdr:rowOff>
    </xdr:to>
    <xdr:pic>
      <xdr:nvPicPr>
        <xdr:cNvPr id="1" name="PPCTickmark_C6B4-6C-44-90F1EF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171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428625</xdr:colOff>
      <xdr:row>13</xdr:row>
      <xdr:rowOff>9525</xdr:rowOff>
    </xdr:from>
    <xdr:to>
      <xdr:col>9</xdr:col>
      <xdr:colOff>581025</xdr:colOff>
      <xdr:row>13</xdr:row>
      <xdr:rowOff>161925</xdr:rowOff>
    </xdr:to>
    <xdr:pic>
      <xdr:nvPicPr>
        <xdr:cNvPr id="2" name="PPCTickmark_C6B4-6C-44-90F1EF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171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53</xdr:row>
      <xdr:rowOff>0</xdr:rowOff>
    </xdr:from>
    <xdr:to>
      <xdr:col>1</xdr:col>
      <xdr:colOff>9525</xdr:colOff>
      <xdr:row>53</xdr:row>
      <xdr:rowOff>152400</xdr:rowOff>
    </xdr:to>
    <xdr:pic>
      <xdr:nvPicPr>
        <xdr:cNvPr id="3" name="PPCTickmark_A3D5-D2-4E-038DF9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658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47</xdr:row>
      <xdr:rowOff>28575</xdr:rowOff>
    </xdr:from>
    <xdr:to>
      <xdr:col>12</xdr:col>
      <xdr:colOff>695325</xdr:colOff>
      <xdr:row>48</xdr:row>
      <xdr:rowOff>9525</xdr:rowOff>
    </xdr:to>
    <xdr:pic>
      <xdr:nvPicPr>
        <xdr:cNvPr id="1" name="PPCTickmark_7619-28-CD-C12320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75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704850</xdr:colOff>
      <xdr:row>29</xdr:row>
      <xdr:rowOff>9525</xdr:rowOff>
    </xdr:from>
    <xdr:to>
      <xdr:col>9</xdr:col>
      <xdr:colOff>9525</xdr:colOff>
      <xdr:row>29</xdr:row>
      <xdr:rowOff>161925</xdr:rowOff>
    </xdr:to>
    <xdr:pic>
      <xdr:nvPicPr>
        <xdr:cNvPr id="2" name="PPCTickmark_19E0-93-3E-F4CD50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79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17</xdr:row>
      <xdr:rowOff>19050</xdr:rowOff>
    </xdr:from>
    <xdr:to>
      <xdr:col>16</xdr:col>
      <xdr:colOff>104775</xdr:colOff>
      <xdr:row>20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12601575" y="28575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85725</xdr:colOff>
      <xdr:row>20</xdr:row>
      <xdr:rowOff>0</xdr:rowOff>
    </xdr:to>
    <xdr:sp>
      <xdr:nvSpPr>
        <xdr:cNvPr id="2" name="AutoShape 19"/>
        <xdr:cNvSpPr>
          <a:spLocks/>
        </xdr:cNvSpPr>
      </xdr:nvSpPr>
      <xdr:spPr>
        <a:xfrm>
          <a:off x="6315075" y="284797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323850</xdr:colOff>
      <xdr:row>24</xdr:row>
      <xdr:rowOff>9525</xdr:rowOff>
    </xdr:from>
    <xdr:to>
      <xdr:col>5</xdr:col>
      <xdr:colOff>476250</xdr:colOff>
      <xdr:row>24</xdr:row>
      <xdr:rowOff>161925</xdr:rowOff>
    </xdr:to>
    <xdr:pic>
      <xdr:nvPicPr>
        <xdr:cNvPr id="3" name="PPCTickmark_D66B-FF-0E-D8945E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00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600075</xdr:colOff>
      <xdr:row>28</xdr:row>
      <xdr:rowOff>9525</xdr:rowOff>
    </xdr:from>
    <xdr:to>
      <xdr:col>9</xdr:col>
      <xdr:colOff>752475</xdr:colOff>
      <xdr:row>28</xdr:row>
      <xdr:rowOff>161925</xdr:rowOff>
    </xdr:to>
    <xdr:pic>
      <xdr:nvPicPr>
        <xdr:cNvPr id="4" name="PPCTickmark_3876-4F-56-2C6F27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66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41</xdr:row>
      <xdr:rowOff>9525</xdr:rowOff>
    </xdr:from>
    <xdr:to>
      <xdr:col>0</xdr:col>
      <xdr:colOff>228600</xdr:colOff>
      <xdr:row>41</xdr:row>
      <xdr:rowOff>161925</xdr:rowOff>
    </xdr:to>
    <xdr:pic>
      <xdr:nvPicPr>
        <xdr:cNvPr id="1" name="PPCTickmark_D3E6-D3-8B-8AFEAB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504825</xdr:colOff>
      <xdr:row>42</xdr:row>
      <xdr:rowOff>19050</xdr:rowOff>
    </xdr:from>
    <xdr:to>
      <xdr:col>11</xdr:col>
      <xdr:colOff>657225</xdr:colOff>
      <xdr:row>42</xdr:row>
      <xdr:rowOff>171450</xdr:rowOff>
    </xdr:to>
    <xdr:pic>
      <xdr:nvPicPr>
        <xdr:cNvPr id="2" name="PPCTickmark_9CB3-15-AE-56D900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695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view="pageBreakPreview" zoomScaleSheetLayoutView="100" workbookViewId="0" topLeftCell="A176">
      <selection activeCell="C178" sqref="C178"/>
    </sheetView>
  </sheetViews>
  <sheetFormatPr defaultColWidth="9.140625" defaultRowHeight="12.75"/>
  <cols>
    <col min="1" max="1" width="6.28125" style="124" customWidth="1"/>
    <col min="2" max="2" width="4.00390625" style="124" customWidth="1"/>
    <col min="3" max="3" width="29.8515625" style="124" customWidth="1"/>
    <col min="4" max="5" width="10.7109375" style="124" customWidth="1"/>
    <col min="6" max="6" width="11.57421875" style="124" customWidth="1"/>
    <col min="7" max="7" width="9.57421875" style="124" hidden="1" customWidth="1"/>
    <col min="8" max="8" width="10.28125" style="124" hidden="1" customWidth="1"/>
    <col min="9" max="10" width="10.7109375" style="124" customWidth="1"/>
    <col min="11" max="11" width="2.7109375" style="124" customWidth="1"/>
    <col min="12" max="16384" width="9.140625" style="34" customWidth="1"/>
  </cols>
  <sheetData>
    <row r="1" spans="1:11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5" ht="12.75">
      <c r="A2" s="110"/>
      <c r="B2" s="110"/>
      <c r="C2" s="110"/>
      <c r="D2" s="110"/>
      <c r="E2" s="110"/>
    </row>
    <row r="3" spans="1:7" ht="12.75">
      <c r="A3" s="110"/>
      <c r="B3" s="110"/>
      <c r="C3" s="110"/>
      <c r="D3" s="110"/>
      <c r="E3" s="110"/>
      <c r="G3" s="185"/>
    </row>
    <row r="4" spans="1:5" ht="12.75">
      <c r="A4" s="112" t="s">
        <v>326</v>
      </c>
      <c r="B4" s="113"/>
      <c r="C4" s="113"/>
      <c r="D4" s="113"/>
      <c r="E4" s="109">
        <v>2007</v>
      </c>
    </row>
    <row r="5" spans="1:5" ht="12.75">
      <c r="A5" s="110"/>
      <c r="B5" s="110"/>
      <c r="C5" s="110"/>
      <c r="D5" s="110" t="s">
        <v>325</v>
      </c>
      <c r="E5" s="111">
        <f>+'Method - A'!M51</f>
        <v>-0.09343557431526865</v>
      </c>
    </row>
    <row r="6" spans="1:5" ht="12.75">
      <c r="A6" s="110"/>
      <c r="B6" s="110"/>
      <c r="C6" s="110"/>
      <c r="D6" s="110" t="s">
        <v>333</v>
      </c>
      <c r="E6" s="114">
        <v>4.333</v>
      </c>
    </row>
    <row r="7" spans="1:7" ht="12.75">
      <c r="A7" s="115" t="s">
        <v>335</v>
      </c>
      <c r="B7" s="113"/>
      <c r="C7" s="113"/>
      <c r="D7" s="113"/>
      <c r="E7" s="116"/>
      <c r="G7" s="185" t="s">
        <v>499</v>
      </c>
    </row>
    <row r="8" spans="1:8" ht="12.75">
      <c r="A8" s="110"/>
      <c r="B8" s="110"/>
      <c r="C8" s="110"/>
      <c r="D8" s="132" t="s">
        <v>200</v>
      </c>
      <c r="E8" s="109">
        <v>2007</v>
      </c>
      <c r="G8" s="109">
        <v>2007</v>
      </c>
      <c r="H8" s="109">
        <v>2007</v>
      </c>
    </row>
    <row r="9" spans="1:8" ht="12.75">
      <c r="A9" s="110"/>
      <c r="B9" s="110"/>
      <c r="C9" s="110"/>
      <c r="D9" s="132" t="s">
        <v>170</v>
      </c>
      <c r="E9" s="224" t="s">
        <v>500</v>
      </c>
      <c r="G9" s="184" t="s">
        <v>500</v>
      </c>
      <c r="H9" s="184" t="s">
        <v>500</v>
      </c>
    </row>
    <row r="10" spans="1:8" ht="12.75">
      <c r="A10" s="118" t="s">
        <v>337</v>
      </c>
      <c r="B10" s="110"/>
      <c r="C10" s="110"/>
      <c r="D10" s="132" t="s">
        <v>172</v>
      </c>
      <c r="E10" s="132" t="s">
        <v>501</v>
      </c>
      <c r="G10" s="116" t="s">
        <v>502</v>
      </c>
      <c r="H10" s="116" t="s">
        <v>503</v>
      </c>
    </row>
    <row r="11" spans="1:5" ht="12.75">
      <c r="A11" s="110" t="s">
        <v>435</v>
      </c>
      <c r="B11" s="110"/>
      <c r="C11" s="110"/>
      <c r="D11" s="121"/>
      <c r="E11" s="121"/>
    </row>
    <row r="12" spans="1:5" ht="12.75">
      <c r="A12" s="110"/>
      <c r="B12" s="110" t="s">
        <v>343</v>
      </c>
      <c r="C12" s="110"/>
      <c r="D12" s="121"/>
      <c r="E12" s="121"/>
    </row>
    <row r="13" spans="1:8" ht="12.75">
      <c r="A13" s="110"/>
      <c r="B13" s="110"/>
      <c r="C13" s="110" t="s">
        <v>422</v>
      </c>
      <c r="D13" s="121">
        <v>20.14</v>
      </c>
      <c r="E13" s="121">
        <f>ROUND(D13*(1+$E$5),2)</f>
        <v>18.26</v>
      </c>
      <c r="G13" s="121">
        <f>+E13*3</f>
        <v>54.78</v>
      </c>
      <c r="H13" s="121">
        <f>+E13*12/52</f>
        <v>4.213846153846154</v>
      </c>
    </row>
    <row r="14" spans="1:8" ht="12.75">
      <c r="A14" s="110"/>
      <c r="B14" s="110"/>
      <c r="C14" s="110" t="s">
        <v>421</v>
      </c>
      <c r="D14" s="121">
        <v>40.28</v>
      </c>
      <c r="E14" s="121">
        <f>ROUND(D14*(1+$E$5),2)</f>
        <v>36.52</v>
      </c>
      <c r="G14" s="121">
        <f>+E14*3</f>
        <v>109.56</v>
      </c>
      <c r="H14" s="121">
        <f>+E14*12/52</f>
        <v>8.427692307692308</v>
      </c>
    </row>
    <row r="15" spans="1:8" ht="12.75">
      <c r="A15" s="110"/>
      <c r="B15" s="110"/>
      <c r="C15" s="110" t="s">
        <v>423</v>
      </c>
      <c r="D15" s="121">
        <v>60.42</v>
      </c>
      <c r="E15" s="121">
        <f>ROUND(D15*(1+$E$5),2)</f>
        <v>54.77</v>
      </c>
      <c r="G15" s="121">
        <f>+E15*3</f>
        <v>164.31</v>
      </c>
      <c r="H15" s="121">
        <f>+E15*12/52</f>
        <v>12.63923076923077</v>
      </c>
    </row>
    <row r="16" spans="1:8" ht="12.75">
      <c r="A16" s="110"/>
      <c r="B16" s="110"/>
      <c r="C16" s="110" t="s">
        <v>504</v>
      </c>
      <c r="D16" s="121">
        <v>5.81</v>
      </c>
      <c r="E16" s="121">
        <f>ROUND(D16*(1+$E$5),2)</f>
        <v>5.27</v>
      </c>
      <c r="G16" s="121">
        <f>+E16*3</f>
        <v>15.809999999999999</v>
      </c>
      <c r="H16" s="121">
        <f>+E16*12/52</f>
        <v>1.2161538461538461</v>
      </c>
    </row>
    <row r="17" spans="1:5" ht="12.75">
      <c r="A17" s="110"/>
      <c r="B17" s="110"/>
      <c r="C17" s="110"/>
      <c r="D17" s="121"/>
      <c r="E17" s="121"/>
    </row>
    <row r="18" spans="1:5" ht="12.75">
      <c r="A18" s="110"/>
      <c r="B18" s="110" t="s">
        <v>505</v>
      </c>
      <c r="C18" s="110"/>
      <c r="D18" s="121"/>
      <c r="E18" s="121"/>
    </row>
    <row r="19" spans="1:8" ht="12.75">
      <c r="A19" s="110"/>
      <c r="B19" s="110"/>
      <c r="C19" s="110" t="s">
        <v>422</v>
      </c>
      <c r="D19" s="121">
        <v>28.81</v>
      </c>
      <c r="E19" s="121">
        <f>ROUND(D19*(1+$E$5),2)</f>
        <v>26.12</v>
      </c>
      <c r="G19" s="121">
        <f>+E19*3</f>
        <v>78.36</v>
      </c>
      <c r="H19" s="121">
        <f>+E19*12/52</f>
        <v>6.027692307692307</v>
      </c>
    </row>
    <row r="20" spans="1:8" ht="12.75">
      <c r="A20" s="110"/>
      <c r="B20" s="110"/>
      <c r="C20" s="110" t="s">
        <v>421</v>
      </c>
      <c r="D20" s="121">
        <v>57.62</v>
      </c>
      <c r="E20" s="121">
        <f>ROUND(D20*(1+$E$5),2)</f>
        <v>52.24</v>
      </c>
      <c r="G20" s="121">
        <f>+E20*3</f>
        <v>156.72</v>
      </c>
      <c r="H20" s="121">
        <f>+E20*12/52</f>
        <v>12.055384615384614</v>
      </c>
    </row>
    <row r="21" spans="1:8" ht="12.75">
      <c r="A21" s="110"/>
      <c r="B21" s="110"/>
      <c r="C21" s="110" t="s">
        <v>423</v>
      </c>
      <c r="D21" s="121">
        <v>86.43</v>
      </c>
      <c r="E21" s="121">
        <f>ROUND(D21*(1+$E$5),2)</f>
        <v>78.35</v>
      </c>
      <c r="G21" s="121">
        <f>+E21*3</f>
        <v>235.04999999999998</v>
      </c>
      <c r="H21" s="121">
        <f>+E21*12/52</f>
        <v>18.080769230769228</v>
      </c>
    </row>
    <row r="22" spans="1:8" ht="12.75">
      <c r="A22" s="110"/>
      <c r="B22" s="110"/>
      <c r="C22" s="110" t="s">
        <v>504</v>
      </c>
      <c r="D22" s="121">
        <f>D19/4.333*1.25</f>
        <v>8.311216247403646</v>
      </c>
      <c r="E22" s="121">
        <f>ROUND(D22*(1+$E$5),2)</f>
        <v>7.53</v>
      </c>
      <c r="G22" s="121">
        <f>+E22*3</f>
        <v>22.59</v>
      </c>
      <c r="H22" s="121">
        <f>+E22*12/52</f>
        <v>1.7376923076923076</v>
      </c>
    </row>
    <row r="23" spans="1:8" ht="12.75">
      <c r="A23" s="110"/>
      <c r="B23" s="110"/>
      <c r="C23" s="110"/>
      <c r="D23" s="121"/>
      <c r="E23" s="121"/>
      <c r="G23" s="121"/>
      <c r="H23" s="121"/>
    </row>
    <row r="24" spans="1:8" ht="12.75">
      <c r="A24" s="110"/>
      <c r="B24" s="134" t="s">
        <v>506</v>
      </c>
      <c r="C24" s="134"/>
      <c r="D24" s="136">
        <v>62.4</v>
      </c>
      <c r="E24" s="136">
        <f>ROUND(D24*(1+$E$5),2)</f>
        <v>56.57</v>
      </c>
      <c r="G24" s="136">
        <f>+E24*3</f>
        <v>169.71</v>
      </c>
      <c r="H24" s="136">
        <f>+E24*12/52</f>
        <v>13.054615384615385</v>
      </c>
    </row>
    <row r="25" spans="1:8" ht="12.75" hidden="1">
      <c r="A25" s="227" t="s">
        <v>507</v>
      </c>
      <c r="B25" s="134"/>
      <c r="C25" s="134" t="s">
        <v>422</v>
      </c>
      <c r="D25" s="136">
        <f aca="true" t="shared" si="0" ref="D25:E27">+D13+$D$24</f>
        <v>82.53999999999999</v>
      </c>
      <c r="E25" s="136">
        <f t="shared" si="0"/>
        <v>80.66</v>
      </c>
      <c r="G25" s="136">
        <f aca="true" t="shared" si="1" ref="G25:H27">+G13+$D$24</f>
        <v>117.18</v>
      </c>
      <c r="H25" s="136">
        <f t="shared" si="1"/>
        <v>66.61384615384615</v>
      </c>
    </row>
    <row r="26" spans="1:8" ht="12.75" hidden="1">
      <c r="A26" s="227"/>
      <c r="B26" s="134"/>
      <c r="C26" s="134" t="s">
        <v>421</v>
      </c>
      <c r="D26" s="136">
        <f t="shared" si="0"/>
        <v>102.68</v>
      </c>
      <c r="E26" s="136">
        <f t="shared" si="0"/>
        <v>98.92</v>
      </c>
      <c r="G26" s="136">
        <f t="shared" si="1"/>
        <v>171.96</v>
      </c>
      <c r="H26" s="136">
        <f t="shared" si="1"/>
        <v>70.8276923076923</v>
      </c>
    </row>
    <row r="27" spans="1:8" ht="12.75" hidden="1">
      <c r="A27" s="227"/>
      <c r="B27" s="134"/>
      <c r="C27" s="134" t="s">
        <v>423</v>
      </c>
      <c r="D27" s="136">
        <f t="shared" si="0"/>
        <v>122.82</v>
      </c>
      <c r="E27" s="136">
        <f t="shared" si="0"/>
        <v>117.17</v>
      </c>
      <c r="G27" s="136">
        <f t="shared" si="1"/>
        <v>226.71</v>
      </c>
      <c r="H27" s="136">
        <f t="shared" si="1"/>
        <v>75.03923076923077</v>
      </c>
    </row>
    <row r="28" spans="1:11" ht="12.75">
      <c r="A28" s="110"/>
      <c r="B28" s="110"/>
      <c r="C28" s="110"/>
      <c r="D28" s="121"/>
      <c r="E28" s="121"/>
      <c r="G28" s="110"/>
      <c r="H28" s="110"/>
      <c r="I28" s="110"/>
      <c r="J28" s="110"/>
      <c r="K28" s="110"/>
    </row>
    <row r="29" spans="1:11" ht="12.75">
      <c r="A29" s="110" t="s">
        <v>387</v>
      </c>
      <c r="B29" s="110"/>
      <c r="C29" s="110"/>
      <c r="D29" s="121"/>
      <c r="E29" s="121"/>
      <c r="G29" s="110"/>
      <c r="H29" s="110"/>
      <c r="I29" s="110"/>
      <c r="J29" s="110"/>
      <c r="K29" s="110"/>
    </row>
    <row r="30" spans="1:11" ht="12.75">
      <c r="A30" s="110"/>
      <c r="B30" s="110" t="s">
        <v>412</v>
      </c>
      <c r="C30" s="110"/>
      <c r="D30" s="121">
        <v>135.51</v>
      </c>
      <c r="E30" s="121">
        <f>ROUND(D30*(1+$E$5),2)</f>
        <v>122.85</v>
      </c>
      <c r="F30" s="110"/>
      <c r="G30" s="110"/>
      <c r="H30" s="110"/>
      <c r="I30" s="110"/>
      <c r="J30" s="110"/>
      <c r="K30" s="110"/>
    </row>
    <row r="31" spans="1:11" ht="12.75">
      <c r="A31" s="110"/>
      <c r="B31" s="110" t="s">
        <v>414</v>
      </c>
      <c r="C31" s="110"/>
      <c r="D31" s="121">
        <v>154.88</v>
      </c>
      <c r="E31" s="121">
        <f>ROUND(D31*(1+$E$5),2)</f>
        <v>140.41</v>
      </c>
      <c r="F31" s="110"/>
      <c r="G31" s="110"/>
      <c r="H31" s="110"/>
      <c r="I31" s="110"/>
      <c r="J31" s="110"/>
      <c r="K31" s="110"/>
    </row>
    <row r="32" spans="1:11" ht="12.75">
      <c r="A32" s="110"/>
      <c r="B32" s="110"/>
      <c r="C32" s="110"/>
      <c r="D32" s="121"/>
      <c r="E32" s="121"/>
      <c r="F32" s="110"/>
      <c r="G32" s="110"/>
      <c r="H32" s="110"/>
      <c r="I32" s="110"/>
      <c r="J32" s="110"/>
      <c r="K32" s="110"/>
    </row>
    <row r="33" spans="1:5" ht="12.75">
      <c r="A33" s="134" t="s">
        <v>552</v>
      </c>
      <c r="B33" s="134"/>
      <c r="C33" s="134"/>
      <c r="D33" s="136">
        <v>78.79</v>
      </c>
      <c r="E33" s="190">
        <f>ROUND(D33*(1+$E$44),2)</f>
        <v>71.43</v>
      </c>
    </row>
    <row r="34" spans="1:11" ht="12.75">
      <c r="A34" s="110"/>
      <c r="B34" s="110"/>
      <c r="C34" s="110"/>
      <c r="D34" s="121"/>
      <c r="E34" s="110"/>
      <c r="F34" s="110"/>
      <c r="G34" s="110"/>
      <c r="H34" s="110"/>
      <c r="I34" s="110"/>
      <c r="J34" s="110"/>
      <c r="K34" s="110"/>
    </row>
    <row r="35" spans="1:11" ht="12.75" customHeight="1" hidden="1">
      <c r="A35" s="227" t="s">
        <v>507</v>
      </c>
      <c r="B35" s="187" t="s">
        <v>508</v>
      </c>
      <c r="C35" s="110"/>
      <c r="D35" s="111"/>
      <c r="E35" s="110"/>
      <c r="F35" s="110"/>
      <c r="G35" s="110"/>
      <c r="H35" s="110"/>
      <c r="I35" s="110"/>
      <c r="J35" s="110"/>
      <c r="K35" s="110"/>
    </row>
    <row r="36" spans="1:11" ht="12.75" customHeight="1" hidden="1">
      <c r="A36" s="227"/>
      <c r="B36" s="188" t="s">
        <v>509</v>
      </c>
      <c r="C36" s="110"/>
      <c r="D36" s="111"/>
      <c r="E36" s="110"/>
      <c r="F36" s="110"/>
      <c r="G36" s="110"/>
      <c r="H36" s="110"/>
      <c r="I36" s="110"/>
      <c r="J36" s="110"/>
      <c r="K36" s="110"/>
    </row>
    <row r="37" spans="1:11" ht="12.75" customHeight="1" hidden="1">
      <c r="A37" s="227"/>
      <c r="B37" s="188" t="s">
        <v>510</v>
      </c>
      <c r="C37" s="110"/>
      <c r="D37" s="111"/>
      <c r="E37" s="110"/>
      <c r="F37" s="110"/>
      <c r="G37" s="110"/>
      <c r="H37" s="110"/>
      <c r="I37" s="110"/>
      <c r="J37" s="110"/>
      <c r="K37" s="110"/>
    </row>
    <row r="38" spans="1:11" ht="12.75" customHeight="1" hidden="1">
      <c r="A38" s="227" t="s">
        <v>507</v>
      </c>
      <c r="B38" s="188" t="s">
        <v>511</v>
      </c>
      <c r="C38" s="110"/>
      <c r="D38" s="111"/>
      <c r="E38" s="110"/>
      <c r="F38" s="110"/>
      <c r="G38" s="110"/>
      <c r="H38" s="110"/>
      <c r="I38" s="110"/>
      <c r="J38" s="110"/>
      <c r="K38" s="110"/>
    </row>
    <row r="39" spans="1:11" ht="12.75" customHeight="1" hidden="1">
      <c r="A39" s="227"/>
      <c r="B39" s="188" t="s">
        <v>512</v>
      </c>
      <c r="C39" s="110"/>
      <c r="D39" s="111"/>
      <c r="E39" s="110"/>
      <c r="F39" s="110"/>
      <c r="G39" s="110"/>
      <c r="H39" s="110"/>
      <c r="I39" s="110"/>
      <c r="J39" s="110"/>
      <c r="K39" s="110"/>
    </row>
    <row r="40" spans="1:11" ht="12.75" hidden="1">
      <c r="A40" s="227"/>
      <c r="B40" s="189" t="str">
        <f>"7) An IN/OUT CHARGE $"&amp;E33&amp;" applies for changes within 6 months."</f>
        <v>7) An IN/OUT CHARGE $71.43 applies for changes within 6 months.</v>
      </c>
      <c r="C40" s="110"/>
      <c r="D40" s="121"/>
      <c r="E40" s="110"/>
      <c r="F40" s="110"/>
      <c r="G40" s="110"/>
      <c r="H40" s="110"/>
      <c r="I40" s="110"/>
      <c r="J40" s="110"/>
      <c r="K40" s="110"/>
    </row>
    <row r="41" spans="1:11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5" ht="12.75">
      <c r="A43" s="112" t="s">
        <v>326</v>
      </c>
      <c r="B43" s="113"/>
      <c r="C43" s="113"/>
      <c r="D43" s="113"/>
      <c r="E43" s="109">
        <v>2007</v>
      </c>
    </row>
    <row r="44" spans="1:5" ht="12.75">
      <c r="A44" s="110"/>
      <c r="B44" s="110"/>
      <c r="C44" s="110"/>
      <c r="D44" s="110" t="s">
        <v>325</v>
      </c>
      <c r="E44" s="111">
        <f>+'Method - A'!M51</f>
        <v>-0.09343557431526865</v>
      </c>
    </row>
    <row r="45" spans="1:5" ht="12.75">
      <c r="A45" s="110"/>
      <c r="B45" s="110"/>
      <c r="C45" s="110"/>
      <c r="D45" s="110" t="s">
        <v>333</v>
      </c>
      <c r="E45" s="114">
        <v>4.333</v>
      </c>
    </row>
    <row r="46" spans="1:7" ht="12.75">
      <c r="A46" s="110"/>
      <c r="B46" s="110"/>
      <c r="C46" s="110"/>
      <c r="D46" s="110"/>
      <c r="E46" s="114"/>
      <c r="G46" s="185"/>
    </row>
    <row r="47" spans="1:8" ht="12.75">
      <c r="A47" s="115" t="s">
        <v>334</v>
      </c>
      <c r="B47" s="113"/>
      <c r="C47" s="113"/>
      <c r="D47" s="132" t="s">
        <v>200</v>
      </c>
      <c r="E47" s="109">
        <v>2007</v>
      </c>
      <c r="G47" s="109"/>
      <c r="H47" s="109"/>
    </row>
    <row r="48" spans="1:8" ht="12.75">
      <c r="A48" s="110"/>
      <c r="B48" s="110"/>
      <c r="C48" s="110"/>
      <c r="D48" s="132" t="s">
        <v>170</v>
      </c>
      <c r="E48" s="224" t="s">
        <v>500</v>
      </c>
      <c r="G48" s="184"/>
      <c r="H48" s="184"/>
    </row>
    <row r="49" spans="1:8" ht="12.75">
      <c r="A49" s="118" t="s">
        <v>337</v>
      </c>
      <c r="B49" s="110"/>
      <c r="C49" s="110"/>
      <c r="D49" s="132" t="s">
        <v>172</v>
      </c>
      <c r="E49" s="132" t="s">
        <v>501</v>
      </c>
      <c r="G49" s="116"/>
      <c r="H49" s="116"/>
    </row>
    <row r="50" spans="1:5" ht="12.75">
      <c r="A50" s="110" t="s">
        <v>341</v>
      </c>
      <c r="B50" s="110"/>
      <c r="C50" s="110"/>
      <c r="D50" s="121"/>
      <c r="E50" s="121"/>
    </row>
    <row r="51" spans="1:8" ht="12.75">
      <c r="A51" s="110"/>
      <c r="B51" s="110" t="s">
        <v>350</v>
      </c>
      <c r="C51" s="110"/>
      <c r="D51" s="121">
        <v>224.68</v>
      </c>
      <c r="E51" s="121">
        <f>D51*(1+$E$44)</f>
        <v>203.68689516284545</v>
      </c>
      <c r="G51" s="121"/>
      <c r="H51" s="121"/>
    </row>
    <row r="52" spans="1:8" ht="12.75">
      <c r="A52" s="110"/>
      <c r="B52" s="110" t="s">
        <v>353</v>
      </c>
      <c r="C52" s="110"/>
      <c r="D52" s="121">
        <v>412.98</v>
      </c>
      <c r="E52" s="121">
        <f>D52*(1+$E$44)</f>
        <v>374.3929765192804</v>
      </c>
      <c r="G52" s="121"/>
      <c r="H52" s="121"/>
    </row>
    <row r="53" spans="1:8" ht="12.75">
      <c r="A53" s="110"/>
      <c r="B53" s="110" t="s">
        <v>356</v>
      </c>
      <c r="C53" s="110"/>
      <c r="D53" s="121">
        <v>601.29</v>
      </c>
      <c r="E53" s="121">
        <f>D53*(1+$E$44)</f>
        <v>545.1081235199721</v>
      </c>
      <c r="G53" s="121"/>
      <c r="H53" s="121"/>
    </row>
    <row r="54" spans="1:5" ht="12.75">
      <c r="A54" s="110" t="s">
        <v>359</v>
      </c>
      <c r="B54" s="110"/>
      <c r="C54" s="110"/>
      <c r="D54" s="121"/>
      <c r="E54" s="121"/>
    </row>
    <row r="55" spans="1:8" ht="12.75">
      <c r="A55" s="110"/>
      <c r="B55" s="110" t="s">
        <v>350</v>
      </c>
      <c r="C55" s="110"/>
      <c r="D55" s="121">
        <v>412.98</v>
      </c>
      <c r="E55" s="121">
        <f>D55*(1+$E$44)</f>
        <v>374.3929765192804</v>
      </c>
      <c r="G55" s="121"/>
      <c r="H55" s="121"/>
    </row>
    <row r="56" spans="1:8" ht="12.75">
      <c r="A56" s="110"/>
      <c r="B56" s="110" t="s">
        <v>353</v>
      </c>
      <c r="C56" s="110"/>
      <c r="D56" s="121">
        <v>789.59</v>
      </c>
      <c r="E56" s="121">
        <f>D56*(1+$E$44)</f>
        <v>715.8142048764071</v>
      </c>
      <c r="G56" s="121"/>
      <c r="H56" s="121"/>
    </row>
    <row r="57" spans="1:8" ht="12.75">
      <c r="A57" s="110"/>
      <c r="B57" s="110" t="s">
        <v>356</v>
      </c>
      <c r="C57" s="110"/>
      <c r="D57" s="121">
        <v>1166.19</v>
      </c>
      <c r="E57" s="121">
        <f>D57*(1+$E$44)</f>
        <v>1057.226367589277</v>
      </c>
      <c r="G57" s="121"/>
      <c r="H57" s="121"/>
    </row>
    <row r="58" spans="1:5" ht="12.75">
      <c r="A58" s="110" t="s">
        <v>373</v>
      </c>
      <c r="B58" s="110"/>
      <c r="C58" s="110"/>
      <c r="D58" s="121"/>
      <c r="E58" s="121"/>
    </row>
    <row r="59" spans="1:8" ht="12.75">
      <c r="A59" s="110"/>
      <c r="B59" s="110" t="s">
        <v>350</v>
      </c>
      <c r="C59" s="110"/>
      <c r="D59" s="121">
        <v>601.29</v>
      </c>
      <c r="E59" s="121">
        <f>D59*(1+$E$44)</f>
        <v>545.1081235199721</v>
      </c>
      <c r="G59" s="121"/>
      <c r="H59" s="121"/>
    </row>
    <row r="60" spans="1:8" ht="12.75">
      <c r="A60" s="110"/>
      <c r="B60" s="110" t="s">
        <v>353</v>
      </c>
      <c r="C60" s="110"/>
      <c r="D60" s="121">
        <v>1166.19</v>
      </c>
      <c r="E60" s="121">
        <f>D60*(1+$E$44)</f>
        <v>1057.226367589277</v>
      </c>
      <c r="G60" s="121"/>
      <c r="H60" s="121"/>
    </row>
    <row r="61" spans="1:8" ht="12.75">
      <c r="A61" s="110"/>
      <c r="B61" s="110" t="s">
        <v>356</v>
      </c>
      <c r="C61" s="110"/>
      <c r="D61" s="121">
        <v>1731.13</v>
      </c>
      <c r="E61" s="121">
        <f>D61*(1+$E$44)</f>
        <v>1569.380874235609</v>
      </c>
      <c r="G61" s="121"/>
      <c r="H61" s="121"/>
    </row>
    <row r="62" spans="1:5" ht="12.75">
      <c r="A62" s="110" t="s">
        <v>384</v>
      </c>
      <c r="B62" s="110"/>
      <c r="C62" s="110"/>
      <c r="D62" s="121"/>
      <c r="E62" s="121"/>
    </row>
    <row r="63" spans="1:8" ht="12.75">
      <c r="A63" s="110"/>
      <c r="B63" s="110" t="s">
        <v>350</v>
      </c>
      <c r="C63" s="110"/>
      <c r="D63" s="121">
        <v>789.59</v>
      </c>
      <c r="E63" s="121">
        <f>D63*(1+$E$44)</f>
        <v>715.8142048764071</v>
      </c>
      <c r="G63" s="121"/>
      <c r="H63" s="121"/>
    </row>
    <row r="64" spans="1:8" ht="12.75">
      <c r="A64" s="110"/>
      <c r="B64" s="110" t="s">
        <v>353</v>
      </c>
      <c r="C64" s="110"/>
      <c r="D64" s="121">
        <v>1542.81</v>
      </c>
      <c r="E64" s="121">
        <f>D64*(1+$E$44)</f>
        <v>1398.6566615906604</v>
      </c>
      <c r="G64" s="121"/>
      <c r="H64" s="121"/>
    </row>
    <row r="65" spans="1:8" ht="12.75">
      <c r="A65" s="110"/>
      <c r="B65" s="110" t="s">
        <v>356</v>
      </c>
      <c r="C65" s="110"/>
      <c r="D65" s="121">
        <v>2296.05</v>
      </c>
      <c r="E65" s="121">
        <f>D65*(1+$E$44)</f>
        <v>2081.5172495934276</v>
      </c>
      <c r="G65" s="121"/>
      <c r="H65" s="121"/>
    </row>
    <row r="66" spans="1:5" ht="12.75">
      <c r="A66" s="110" t="s">
        <v>397</v>
      </c>
      <c r="B66" s="110"/>
      <c r="C66" s="110"/>
      <c r="D66" s="121"/>
      <c r="E66" s="121"/>
    </row>
    <row r="67" spans="1:8" ht="12.75">
      <c r="A67" s="110"/>
      <c r="B67" s="110" t="s">
        <v>350</v>
      </c>
      <c r="C67" s="110"/>
      <c r="D67" s="121">
        <v>977.91</v>
      </c>
      <c r="E67" s="121">
        <f>D67*(1+$E$44)</f>
        <v>886.5384175213557</v>
      </c>
      <c r="G67" s="121"/>
      <c r="H67" s="121"/>
    </row>
    <row r="68" spans="1:8" ht="12.75">
      <c r="A68" s="110"/>
      <c r="B68" s="110" t="s">
        <v>353</v>
      </c>
      <c r="C68" s="110"/>
      <c r="D68" s="121">
        <v>1919.44</v>
      </c>
      <c r="E68" s="121">
        <f>D68*(1+$E$44)</f>
        <v>1740.0960212363009</v>
      </c>
      <c r="G68" s="121"/>
      <c r="H68" s="121"/>
    </row>
    <row r="69" spans="1:8" ht="12.75">
      <c r="A69" s="110"/>
      <c r="B69" s="110" t="s">
        <v>356</v>
      </c>
      <c r="C69" s="110"/>
      <c r="D69" s="121">
        <v>2860.98</v>
      </c>
      <c r="E69" s="121">
        <f>D69*(1+$E$44)</f>
        <v>2593.6626905955027</v>
      </c>
      <c r="G69" s="121"/>
      <c r="H69" s="121"/>
    </row>
    <row r="70" spans="1:5" ht="12.75">
      <c r="A70" s="110" t="s">
        <v>404</v>
      </c>
      <c r="B70" s="110"/>
      <c r="C70" s="110"/>
      <c r="D70" s="121"/>
      <c r="E70" s="121"/>
    </row>
    <row r="71" spans="1:8" ht="12.75">
      <c r="A71" s="110"/>
      <c r="B71" s="110" t="s">
        <v>350</v>
      </c>
      <c r="C71" s="110"/>
      <c r="D71" s="121">
        <v>318.06</v>
      </c>
      <c r="E71" s="121">
        <f>D71*(1+$E$44)</f>
        <v>288.3418812332857</v>
      </c>
      <c r="G71" s="121"/>
      <c r="H71" s="121"/>
    </row>
    <row r="72" spans="1:8" ht="12.75">
      <c r="A72" s="110"/>
      <c r="B72" s="110" t="s">
        <v>353</v>
      </c>
      <c r="C72" s="110"/>
      <c r="D72" s="121">
        <v>636.13</v>
      </c>
      <c r="E72" s="121">
        <f>D72*(1+$E$44)</f>
        <v>576.6928281108281</v>
      </c>
      <c r="G72" s="121"/>
      <c r="H72" s="121"/>
    </row>
    <row r="73" spans="1:8" ht="12.75">
      <c r="A73" s="110"/>
      <c r="B73" s="110" t="s">
        <v>356</v>
      </c>
      <c r="C73" s="110"/>
      <c r="D73" s="121">
        <v>954.2</v>
      </c>
      <c r="E73" s="121">
        <f>D73*(1+$E$44)</f>
        <v>865.0437749883707</v>
      </c>
      <c r="G73" s="121"/>
      <c r="H73" s="121"/>
    </row>
    <row r="74" spans="1:5" ht="12.75">
      <c r="A74" s="110" t="s">
        <v>407</v>
      </c>
      <c r="B74" s="110"/>
      <c r="C74" s="110"/>
      <c r="D74" s="121"/>
      <c r="E74" s="121"/>
    </row>
    <row r="75" spans="1:8" ht="12.75">
      <c r="A75" s="110"/>
      <c r="B75" s="110" t="s">
        <v>350</v>
      </c>
      <c r="C75" s="110"/>
      <c r="D75" s="121">
        <v>54.3</v>
      </c>
      <c r="E75" s="121">
        <f>D75*(1+$E$44)</f>
        <v>49.22644831468091</v>
      </c>
      <c r="G75" s="121"/>
      <c r="H75" s="121"/>
    </row>
    <row r="76" spans="1:8" ht="12.75">
      <c r="A76" s="110"/>
      <c r="B76" s="110" t="s">
        <v>353</v>
      </c>
      <c r="C76" s="110"/>
      <c r="D76" s="121">
        <v>108.64</v>
      </c>
      <c r="E76" s="121">
        <f>D76*(1+$E$44)</f>
        <v>98.48915920638922</v>
      </c>
      <c r="G76" s="121"/>
      <c r="H76" s="121"/>
    </row>
    <row r="77" spans="1:8" ht="12.75">
      <c r="A77" s="110"/>
      <c r="B77" s="110" t="s">
        <v>356</v>
      </c>
      <c r="C77" s="110"/>
      <c r="D77" s="121">
        <v>162.96</v>
      </c>
      <c r="E77" s="121">
        <f>D77*(1+$E$44)</f>
        <v>147.73373880958383</v>
      </c>
      <c r="G77" s="121"/>
      <c r="H77" s="121"/>
    </row>
    <row r="78" spans="1:5" ht="12.75">
      <c r="A78" s="110" t="s">
        <v>408</v>
      </c>
      <c r="B78" s="110"/>
      <c r="C78" s="110"/>
      <c r="D78" s="121"/>
      <c r="E78" s="121"/>
    </row>
    <row r="79" spans="1:8" ht="12.75">
      <c r="A79" s="110"/>
      <c r="B79" s="110" t="s">
        <v>350</v>
      </c>
      <c r="C79" s="110"/>
      <c r="D79" s="121">
        <v>91.77</v>
      </c>
      <c r="E79" s="121">
        <f>D79*(1+$E$44)</f>
        <v>83.19541734508779</v>
      </c>
      <c r="G79" s="121"/>
      <c r="H79" s="121"/>
    </row>
    <row r="80" spans="1:8" ht="12.75">
      <c r="A80" s="110"/>
      <c r="B80" s="110" t="s">
        <v>353</v>
      </c>
      <c r="C80" s="110"/>
      <c r="D80" s="121">
        <v>183.53</v>
      </c>
      <c r="E80" s="121">
        <f>D80*(1+$E$44)</f>
        <v>166.38176904591876</v>
      </c>
      <c r="G80" s="121"/>
      <c r="H80" s="121"/>
    </row>
    <row r="81" spans="1:8" ht="12.75">
      <c r="A81" s="110"/>
      <c r="B81" s="110" t="s">
        <v>356</v>
      </c>
      <c r="C81" s="110"/>
      <c r="D81" s="121">
        <v>275.29</v>
      </c>
      <c r="E81" s="121">
        <f>D81*(1+$E$44)</f>
        <v>249.5681207467497</v>
      </c>
      <c r="G81" s="121"/>
      <c r="H81" s="121"/>
    </row>
    <row r="82" spans="1:5" ht="12.75">
      <c r="A82" s="110" t="s">
        <v>411</v>
      </c>
      <c r="B82" s="110"/>
      <c r="C82" s="110"/>
      <c r="D82" s="121"/>
      <c r="E82" s="121"/>
    </row>
    <row r="83" spans="1:8" ht="12.75">
      <c r="A83" s="110"/>
      <c r="B83" s="110" t="s">
        <v>413</v>
      </c>
      <c r="C83" s="110"/>
      <c r="D83" s="121">
        <v>21.74</v>
      </c>
      <c r="E83" s="121">
        <f>D83*(1+$E$44)</f>
        <v>19.70871061438606</v>
      </c>
      <c r="G83" s="121"/>
      <c r="H83" s="121"/>
    </row>
    <row r="84" spans="1:8" ht="12.75">
      <c r="A84" s="110"/>
      <c r="B84" s="110" t="s">
        <v>415</v>
      </c>
      <c r="C84" s="110"/>
      <c r="D84" s="121">
        <v>36.36</v>
      </c>
      <c r="E84" s="121">
        <f>D84*(1+$E$44)</f>
        <v>32.96268251789683</v>
      </c>
      <c r="G84" s="121"/>
      <c r="H84" s="121"/>
    </row>
    <row r="85" spans="1:8" ht="12.75">
      <c r="A85" s="110"/>
      <c r="B85" s="110"/>
      <c r="C85" s="110"/>
      <c r="D85" s="121"/>
      <c r="E85" s="121"/>
      <c r="G85" s="121"/>
      <c r="H85" s="121"/>
    </row>
    <row r="86" spans="1:5" ht="12.75">
      <c r="A86" s="110" t="s">
        <v>387</v>
      </c>
      <c r="B86" s="110"/>
      <c r="C86" s="110"/>
      <c r="D86" s="121"/>
      <c r="E86" s="121"/>
    </row>
    <row r="87" spans="1:8" ht="12.75">
      <c r="A87" s="110"/>
      <c r="B87" s="110" t="s">
        <v>412</v>
      </c>
      <c r="C87" s="110"/>
      <c r="D87" s="121">
        <v>135.51</v>
      </c>
      <c r="E87" s="121">
        <f aca="true" t="shared" si="2" ref="E87:E92">D87*(1+$E$44)</f>
        <v>122.84854532453794</v>
      </c>
      <c r="G87" s="121"/>
      <c r="H87" s="121"/>
    </row>
    <row r="88" spans="1:8" ht="12.75">
      <c r="A88" s="110"/>
      <c r="B88" s="110" t="s">
        <v>414</v>
      </c>
      <c r="C88" s="110"/>
      <c r="D88" s="121">
        <v>154.88</v>
      </c>
      <c r="E88" s="121">
        <f t="shared" si="2"/>
        <v>140.4086982500512</v>
      </c>
      <c r="G88" s="121"/>
      <c r="H88" s="121"/>
    </row>
    <row r="89" spans="1:8" ht="12.75">
      <c r="A89" s="110" t="s">
        <v>416</v>
      </c>
      <c r="B89" s="110"/>
      <c r="C89" s="110"/>
      <c r="D89" s="121">
        <v>130.56</v>
      </c>
      <c r="E89" s="121">
        <f t="shared" si="2"/>
        <v>118.36105141739853</v>
      </c>
      <c r="G89" s="121"/>
      <c r="H89" s="121"/>
    </row>
    <row r="90" spans="1:8" ht="12.75">
      <c r="A90" s="110" t="s">
        <v>417</v>
      </c>
      <c r="B90" s="110"/>
      <c r="C90" s="110"/>
      <c r="D90" s="121">
        <v>20.72</v>
      </c>
      <c r="E90" s="121">
        <f t="shared" si="2"/>
        <v>18.784014900187632</v>
      </c>
      <c r="G90" s="121"/>
      <c r="H90" s="121"/>
    </row>
    <row r="91" spans="1:8" ht="12.75">
      <c r="A91" s="110" t="s">
        <v>401</v>
      </c>
      <c r="B91" s="110"/>
      <c r="C91" s="110"/>
      <c r="D91" s="121">
        <v>78.79</v>
      </c>
      <c r="E91" s="121">
        <f t="shared" si="2"/>
        <v>71.4282110997</v>
      </c>
      <c r="G91" s="121"/>
      <c r="H91" s="121"/>
    </row>
    <row r="92" spans="1:8" ht="12.75">
      <c r="A92" s="110" t="s">
        <v>403</v>
      </c>
      <c r="B92" s="110"/>
      <c r="C92" s="110"/>
      <c r="D92" s="121">
        <v>62.4</v>
      </c>
      <c r="E92" s="121">
        <f t="shared" si="2"/>
        <v>56.56962016272724</v>
      </c>
      <c r="G92" s="121"/>
      <c r="H92" s="121"/>
    </row>
    <row r="93" spans="1:5" ht="12.75">
      <c r="A93" s="110"/>
      <c r="B93" s="110"/>
      <c r="C93" s="110"/>
      <c r="D93" s="121"/>
      <c r="E93" s="110"/>
    </row>
    <row r="94" spans="1:5" ht="12.75">
      <c r="A94" s="134"/>
      <c r="B94" s="110" t="s">
        <v>427</v>
      </c>
      <c r="C94" s="110" t="s">
        <v>428</v>
      </c>
      <c r="D94" s="110"/>
      <c r="E94" s="110"/>
    </row>
    <row r="95" spans="1:5" ht="12.75">
      <c r="A95" s="110"/>
      <c r="B95" s="110"/>
      <c r="C95" s="110"/>
      <c r="D95" s="110"/>
      <c r="E95" s="110"/>
    </row>
    <row r="96" spans="1:5" ht="12.75">
      <c r="A96" s="112" t="s">
        <v>326</v>
      </c>
      <c r="B96" s="113"/>
      <c r="C96" s="113"/>
      <c r="D96" s="113"/>
      <c r="E96" s="109">
        <v>2007</v>
      </c>
    </row>
    <row r="97" spans="1:5" ht="12.75">
      <c r="A97" s="110"/>
      <c r="B97" s="110"/>
      <c r="C97" s="110"/>
      <c r="D97" s="110" t="s">
        <v>325</v>
      </c>
      <c r="E97" s="111">
        <f>+'Method - A'!M51</f>
        <v>-0.09343557431526865</v>
      </c>
    </row>
    <row r="98" spans="1:5" ht="12.75">
      <c r="A98" s="110"/>
      <c r="B98" s="110"/>
      <c r="C98" s="110"/>
      <c r="D98" s="110" t="s">
        <v>333</v>
      </c>
      <c r="E98" s="114">
        <v>4.333</v>
      </c>
    </row>
    <row r="99" spans="1:5" ht="12.75">
      <c r="A99" s="110"/>
      <c r="B99" s="110"/>
      <c r="C99" s="110"/>
      <c r="D99" s="110"/>
      <c r="E99" s="114"/>
    </row>
    <row r="100" spans="1:5" ht="12.75">
      <c r="A100" s="115" t="s">
        <v>336</v>
      </c>
      <c r="B100" s="113"/>
      <c r="C100" s="113"/>
      <c r="D100" s="132" t="s">
        <v>200</v>
      </c>
      <c r="E100" s="109">
        <v>2007</v>
      </c>
    </row>
    <row r="101" spans="1:5" ht="12.75">
      <c r="A101" s="110"/>
      <c r="B101" s="110"/>
      <c r="C101" s="110"/>
      <c r="D101" s="132" t="s">
        <v>170</v>
      </c>
      <c r="E101" s="224" t="s">
        <v>500</v>
      </c>
    </row>
    <row r="102" spans="1:5" ht="12.75">
      <c r="A102" s="118" t="s">
        <v>337</v>
      </c>
      <c r="B102" s="110"/>
      <c r="C102" s="110"/>
      <c r="D102" s="132" t="s">
        <v>172</v>
      </c>
      <c r="E102" s="132" t="s">
        <v>501</v>
      </c>
    </row>
    <row r="103" spans="1:5" ht="12.75">
      <c r="A103" s="110" t="s">
        <v>342</v>
      </c>
      <c r="B103" s="110"/>
      <c r="D103" s="121"/>
      <c r="E103" s="121"/>
    </row>
    <row r="104" spans="1:5" ht="12.75">
      <c r="A104" s="110"/>
      <c r="B104" s="110" t="s">
        <v>424</v>
      </c>
      <c r="D104" s="121"/>
      <c r="E104" s="121"/>
    </row>
    <row r="105" spans="1:8" ht="12.75">
      <c r="A105" s="110"/>
      <c r="B105" s="110"/>
      <c r="C105" s="110" t="s">
        <v>354</v>
      </c>
      <c r="D105" s="121">
        <v>423.64</v>
      </c>
      <c r="E105" s="121">
        <f aca="true" t="shared" si="3" ref="E105:E117">D105*(1+$E$97)</f>
        <v>384.0569532970796</v>
      </c>
      <c r="G105" s="121"/>
      <c r="H105" s="121"/>
    </row>
    <row r="106" spans="1:8" ht="12.75">
      <c r="A106" s="110"/>
      <c r="B106" s="110"/>
      <c r="C106" s="110" t="s">
        <v>357</v>
      </c>
      <c r="D106" s="121">
        <v>103.57</v>
      </c>
      <c r="E106" s="121">
        <f t="shared" si="3"/>
        <v>93.89287756816762</v>
      </c>
      <c r="G106" s="121"/>
      <c r="H106" s="121"/>
    </row>
    <row r="107" spans="1:8" ht="12.75">
      <c r="A107" s="110"/>
      <c r="B107" s="110"/>
      <c r="C107" s="110" t="s">
        <v>360</v>
      </c>
      <c r="D107" s="121">
        <v>168.82</v>
      </c>
      <c r="E107" s="121">
        <f t="shared" si="3"/>
        <v>153.04620634409633</v>
      </c>
      <c r="G107" s="121"/>
      <c r="H107" s="121"/>
    </row>
    <row r="108" spans="1:8" ht="12.75">
      <c r="A108" s="110"/>
      <c r="B108" s="110"/>
      <c r="C108" s="110" t="s">
        <v>362</v>
      </c>
      <c r="D108" s="121">
        <v>122.69</v>
      </c>
      <c r="E108" s="121">
        <f t="shared" si="3"/>
        <v>111.22638938725969</v>
      </c>
      <c r="G108" s="121"/>
      <c r="H108" s="121"/>
    </row>
    <row r="109" spans="1:8" ht="12.75">
      <c r="A109" s="110"/>
      <c r="B109" s="110"/>
      <c r="C109" s="110" t="s">
        <v>365</v>
      </c>
      <c r="D109" s="121">
        <v>36.26</v>
      </c>
      <c r="E109" s="121">
        <f t="shared" si="3"/>
        <v>32.87202607532836</v>
      </c>
      <c r="G109" s="121"/>
      <c r="H109" s="121"/>
    </row>
    <row r="110" spans="1:8" ht="12.75">
      <c r="A110" s="110"/>
      <c r="C110" s="110" t="s">
        <v>368</v>
      </c>
      <c r="D110" s="121">
        <v>9.92</v>
      </c>
      <c r="E110" s="121">
        <f t="shared" si="3"/>
        <v>8.993119102792535</v>
      </c>
      <c r="G110" s="121"/>
      <c r="H110" s="121"/>
    </row>
    <row r="111" spans="1:5" ht="12.75">
      <c r="A111" s="110"/>
      <c r="B111" s="134" t="s">
        <v>425</v>
      </c>
      <c r="C111" s="135"/>
      <c r="D111" s="136"/>
      <c r="E111" s="136"/>
    </row>
    <row r="112" spans="1:8" ht="12.75">
      <c r="A112" s="110"/>
      <c r="B112" s="134"/>
      <c r="C112" s="134" t="s">
        <v>354</v>
      </c>
      <c r="D112" s="136">
        <v>652.2</v>
      </c>
      <c r="E112" s="136">
        <f t="shared" si="3"/>
        <v>591.2613184315818</v>
      </c>
      <c r="G112" s="121"/>
      <c r="H112" s="121"/>
    </row>
    <row r="113" spans="1:8" ht="12.75">
      <c r="A113" s="110"/>
      <c r="B113" s="134"/>
      <c r="C113" s="134" t="s">
        <v>357</v>
      </c>
      <c r="D113" s="136">
        <v>103.57</v>
      </c>
      <c r="E113" s="136">
        <f t="shared" si="3"/>
        <v>93.89287756816762</v>
      </c>
      <c r="G113" s="121"/>
      <c r="H113" s="121"/>
    </row>
    <row r="114" spans="1:8" ht="12.75">
      <c r="A114" s="110"/>
      <c r="B114" s="134"/>
      <c r="C114" s="134" t="s">
        <v>360</v>
      </c>
      <c r="D114" s="136">
        <v>168.82</v>
      </c>
      <c r="E114" s="136">
        <f t="shared" si="3"/>
        <v>153.04620634409633</v>
      </c>
      <c r="G114" s="121"/>
      <c r="H114" s="121"/>
    </row>
    <row r="115" spans="1:8" ht="12.75">
      <c r="A115" s="110"/>
      <c r="B115" s="134"/>
      <c r="C115" s="134" t="s">
        <v>362</v>
      </c>
      <c r="D115" s="136">
        <v>122.69</v>
      </c>
      <c r="E115" s="136">
        <f t="shared" si="3"/>
        <v>111.22638938725969</v>
      </c>
      <c r="G115" s="121"/>
      <c r="H115" s="121"/>
    </row>
    <row r="116" spans="1:8" ht="12.75">
      <c r="A116" s="110"/>
      <c r="B116" s="134"/>
      <c r="C116" s="134" t="s">
        <v>365</v>
      </c>
      <c r="D116" s="136">
        <v>36.26</v>
      </c>
      <c r="E116" s="136">
        <f t="shared" si="3"/>
        <v>32.87202607532836</v>
      </c>
      <c r="G116" s="121"/>
      <c r="H116" s="121"/>
    </row>
    <row r="117" spans="1:8" ht="12.75">
      <c r="A117" s="110"/>
      <c r="B117" s="135"/>
      <c r="C117" s="134" t="s">
        <v>368</v>
      </c>
      <c r="D117" s="136">
        <v>9.92</v>
      </c>
      <c r="E117" s="136">
        <f t="shared" si="3"/>
        <v>8.993119102792535</v>
      </c>
      <c r="G117" s="121"/>
      <c r="H117" s="121"/>
    </row>
    <row r="118" spans="1:5" ht="12.75">
      <c r="A118" s="110"/>
      <c r="B118" s="110" t="s">
        <v>426</v>
      </c>
      <c r="C118" s="110"/>
      <c r="D118" s="121"/>
      <c r="E118" s="121"/>
    </row>
    <row r="119" spans="1:8" ht="12.75">
      <c r="A119" s="110"/>
      <c r="B119" s="110"/>
      <c r="C119" s="110" t="s">
        <v>354</v>
      </c>
      <c r="D119" s="121">
        <v>792.91</v>
      </c>
      <c r="E119" s="121">
        <f aca="true" t="shared" si="4" ref="E119:E124">D119*(1+$E$97)</f>
        <v>718.8239987696803</v>
      </c>
      <c r="G119" s="121"/>
      <c r="H119" s="121"/>
    </row>
    <row r="120" spans="1:8" ht="12.75">
      <c r="A120" s="110"/>
      <c r="C120" s="110" t="s">
        <v>357</v>
      </c>
      <c r="D120" s="121">
        <v>103.57</v>
      </c>
      <c r="E120" s="121">
        <f t="shared" si="4"/>
        <v>93.89287756816762</v>
      </c>
      <c r="G120" s="121"/>
      <c r="H120" s="121"/>
    </row>
    <row r="121" spans="1:8" ht="12.75">
      <c r="A121" s="110"/>
      <c r="B121" s="110"/>
      <c r="C121" s="110" t="s">
        <v>360</v>
      </c>
      <c r="D121" s="121">
        <v>168.82</v>
      </c>
      <c r="E121" s="121">
        <f t="shared" si="4"/>
        <v>153.04620634409633</v>
      </c>
      <c r="G121" s="121"/>
      <c r="H121" s="121"/>
    </row>
    <row r="122" spans="1:8" ht="12.75">
      <c r="A122" s="110"/>
      <c r="B122" s="110"/>
      <c r="C122" s="110" t="s">
        <v>362</v>
      </c>
      <c r="D122" s="121">
        <v>122.69</v>
      </c>
      <c r="E122" s="121">
        <f t="shared" si="4"/>
        <v>111.22638938725969</v>
      </c>
      <c r="G122" s="121"/>
      <c r="H122" s="121"/>
    </row>
    <row r="123" spans="1:8" ht="12.75">
      <c r="A123" s="110"/>
      <c r="B123" s="110"/>
      <c r="C123" s="110" t="s">
        <v>365</v>
      </c>
      <c r="D123" s="121">
        <v>36.26</v>
      </c>
      <c r="E123" s="121">
        <f t="shared" si="4"/>
        <v>32.87202607532836</v>
      </c>
      <c r="G123" s="121"/>
      <c r="H123" s="121"/>
    </row>
    <row r="124" spans="1:8" ht="12.75">
      <c r="A124" s="110"/>
      <c r="B124" s="110"/>
      <c r="C124" s="110" t="s">
        <v>368</v>
      </c>
      <c r="D124" s="121">
        <v>9.92</v>
      </c>
      <c r="E124" s="121">
        <f t="shared" si="4"/>
        <v>8.993119102792535</v>
      </c>
      <c r="G124" s="121"/>
      <c r="H124" s="121"/>
    </row>
    <row r="125" spans="1:5" ht="12.75">
      <c r="A125" s="110" t="s">
        <v>395</v>
      </c>
      <c r="B125" s="110"/>
      <c r="C125" s="110"/>
      <c r="D125" s="121"/>
      <c r="E125" s="121"/>
    </row>
    <row r="126" spans="1:5" ht="12.75">
      <c r="A126" s="110"/>
      <c r="B126" s="110" t="s">
        <v>462</v>
      </c>
      <c r="C126" s="110"/>
      <c r="D126" s="121"/>
      <c r="E126" s="121"/>
    </row>
    <row r="127" spans="1:8" ht="12.75">
      <c r="A127" s="110"/>
      <c r="B127" s="110"/>
      <c r="C127" s="110" t="s">
        <v>341</v>
      </c>
      <c r="D127" s="121">
        <v>47.31</v>
      </c>
      <c r="E127" s="121">
        <f aca="true" t="shared" si="5" ref="E127:E134">D127*(1+$E$97)</f>
        <v>42.88956297914464</v>
      </c>
      <c r="G127" s="121"/>
      <c r="H127" s="121"/>
    </row>
    <row r="128" spans="1:8" ht="12.75">
      <c r="A128" s="110"/>
      <c r="B128" s="110"/>
      <c r="C128" s="110" t="s">
        <v>359</v>
      </c>
      <c r="D128" s="121">
        <v>94.61</v>
      </c>
      <c r="E128" s="121">
        <f t="shared" si="5"/>
        <v>85.77006031403243</v>
      </c>
      <c r="G128" s="121"/>
      <c r="H128" s="121"/>
    </row>
    <row r="129" spans="1:8" ht="12.75">
      <c r="A129" s="110"/>
      <c r="B129" s="110"/>
      <c r="C129" s="110" t="s">
        <v>373</v>
      </c>
      <c r="D129" s="121">
        <v>141.92</v>
      </c>
      <c r="E129" s="121">
        <f t="shared" si="5"/>
        <v>128.65962329317708</v>
      </c>
      <c r="G129" s="121"/>
      <c r="H129" s="121"/>
    </row>
    <row r="130" spans="1:8" ht="12.75">
      <c r="A130" s="110"/>
      <c r="B130" s="110"/>
      <c r="C130" s="110" t="s">
        <v>384</v>
      </c>
      <c r="D130" s="121">
        <v>189.23</v>
      </c>
      <c r="E130" s="121">
        <f t="shared" si="5"/>
        <v>171.54918627232172</v>
      </c>
      <c r="G130" s="121"/>
      <c r="H130" s="121"/>
    </row>
    <row r="131" spans="1:8" ht="12.75">
      <c r="A131" s="110"/>
      <c r="B131" s="110"/>
      <c r="C131" s="110" t="s">
        <v>397</v>
      </c>
      <c r="D131" s="121">
        <v>236.54</v>
      </c>
      <c r="E131" s="121">
        <f t="shared" si="5"/>
        <v>214.43874925146636</v>
      </c>
      <c r="G131" s="121"/>
      <c r="H131" s="121"/>
    </row>
    <row r="132" spans="1:8" ht="12.75">
      <c r="A132" s="110"/>
      <c r="B132" s="110"/>
      <c r="C132" s="110" t="s">
        <v>404</v>
      </c>
      <c r="D132" s="121">
        <v>70.92</v>
      </c>
      <c r="E132" s="121">
        <f t="shared" si="5"/>
        <v>64.29354906956115</v>
      </c>
      <c r="G132" s="121"/>
      <c r="H132" s="121"/>
    </row>
    <row r="133" spans="1:8" ht="12.75">
      <c r="A133" s="110"/>
      <c r="B133" s="110"/>
      <c r="C133" s="110" t="s">
        <v>407</v>
      </c>
      <c r="D133" s="121">
        <v>10.92</v>
      </c>
      <c r="E133" s="121">
        <f t="shared" si="5"/>
        <v>9.899683528477267</v>
      </c>
      <c r="G133" s="121"/>
      <c r="H133" s="121"/>
    </row>
    <row r="134" spans="1:8" ht="12.75">
      <c r="A134" s="110"/>
      <c r="B134" s="110"/>
      <c r="C134" s="110" t="s">
        <v>408</v>
      </c>
      <c r="D134" s="121">
        <v>20.45</v>
      </c>
      <c r="E134" s="121">
        <f t="shared" si="5"/>
        <v>18.539242505252755</v>
      </c>
      <c r="G134" s="121"/>
      <c r="H134" s="121"/>
    </row>
    <row r="135" spans="1:5" ht="12.75">
      <c r="A135" s="110"/>
      <c r="B135" s="110" t="s">
        <v>463</v>
      </c>
      <c r="C135" s="110"/>
      <c r="D135" s="121"/>
      <c r="E135" s="121"/>
    </row>
    <row r="136" spans="1:8" ht="12.75">
      <c r="A136" s="110"/>
      <c r="B136" s="110"/>
      <c r="C136" s="110" t="s">
        <v>341</v>
      </c>
      <c r="D136" s="121">
        <v>94.61</v>
      </c>
      <c r="E136" s="121">
        <f aca="true" t="shared" si="6" ref="E136:E143">D136*(1+$E$97)</f>
        <v>85.77006031403243</v>
      </c>
      <c r="G136" s="121"/>
      <c r="H136" s="121"/>
    </row>
    <row r="137" spans="1:8" ht="12.75">
      <c r="A137" s="110"/>
      <c r="B137" s="110"/>
      <c r="C137" s="110" t="s">
        <v>359</v>
      </c>
      <c r="D137" s="121">
        <v>189.23</v>
      </c>
      <c r="E137" s="121">
        <f t="shared" si="6"/>
        <v>171.54918627232172</v>
      </c>
      <c r="G137" s="121"/>
      <c r="H137" s="121"/>
    </row>
    <row r="138" spans="1:8" ht="12.75">
      <c r="A138" s="110"/>
      <c r="B138" s="110"/>
      <c r="C138" s="110" t="s">
        <v>373</v>
      </c>
      <c r="D138" s="121">
        <v>283.84</v>
      </c>
      <c r="E138" s="121">
        <f t="shared" si="6"/>
        <v>257.31924658635415</v>
      </c>
      <c r="G138" s="121"/>
      <c r="H138" s="121"/>
    </row>
    <row r="139" spans="1:8" ht="12.75">
      <c r="A139" s="110"/>
      <c r="B139" s="110"/>
      <c r="C139" s="110" t="s">
        <v>384</v>
      </c>
      <c r="D139" s="121">
        <v>378.46</v>
      </c>
      <c r="E139" s="121">
        <f t="shared" si="6"/>
        <v>343.09837254464344</v>
      </c>
      <c r="G139" s="121"/>
      <c r="H139" s="121"/>
    </row>
    <row r="140" spans="1:8" ht="12.75">
      <c r="A140" s="110"/>
      <c r="B140" s="110"/>
      <c r="C140" s="110" t="s">
        <v>397</v>
      </c>
      <c r="D140" s="121">
        <v>473.07</v>
      </c>
      <c r="E140" s="121">
        <f t="shared" si="6"/>
        <v>428.8684328586759</v>
      </c>
      <c r="G140" s="121"/>
      <c r="H140" s="121"/>
    </row>
    <row r="141" spans="1:8" ht="12.75">
      <c r="A141" s="110"/>
      <c r="B141" s="110"/>
      <c r="C141" s="110" t="s">
        <v>404</v>
      </c>
      <c r="D141" s="121">
        <v>141.83</v>
      </c>
      <c r="E141" s="121">
        <f t="shared" si="6"/>
        <v>128.57803249486545</v>
      </c>
      <c r="G141" s="121"/>
      <c r="H141" s="121"/>
    </row>
    <row r="142" spans="1:8" ht="12.75">
      <c r="A142" s="110"/>
      <c r="B142" s="110"/>
      <c r="C142" s="110" t="s">
        <v>407</v>
      </c>
      <c r="D142" s="121">
        <v>21.84</v>
      </c>
      <c r="E142" s="121">
        <f t="shared" si="6"/>
        <v>19.799367056954534</v>
      </c>
      <c r="G142" s="121"/>
      <c r="H142" s="121"/>
    </row>
    <row r="143" spans="1:8" ht="12.75">
      <c r="A143" s="110"/>
      <c r="B143" s="110"/>
      <c r="C143" s="110" t="s">
        <v>408</v>
      </c>
      <c r="D143" s="121">
        <v>40.9</v>
      </c>
      <c r="E143" s="121">
        <f t="shared" si="6"/>
        <v>37.07848501050551</v>
      </c>
      <c r="G143" s="121"/>
      <c r="H143" s="121"/>
    </row>
    <row r="144" spans="1:5" ht="12.75">
      <c r="A144" s="110"/>
      <c r="B144" s="110"/>
      <c r="C144" s="110"/>
      <c r="D144" s="111"/>
      <c r="E144" s="110"/>
    </row>
    <row r="145" spans="1:5" ht="12.75">
      <c r="A145" s="134"/>
      <c r="B145" s="110" t="s">
        <v>427</v>
      </c>
      <c r="C145" s="110" t="s">
        <v>428</v>
      </c>
      <c r="D145" s="110"/>
      <c r="E145" s="110"/>
    </row>
    <row r="146" spans="1:5" ht="12.75">
      <c r="A146" s="110"/>
      <c r="B146" s="110"/>
      <c r="C146" s="110"/>
      <c r="D146" s="110"/>
      <c r="E146" s="110"/>
    </row>
    <row r="147" spans="1:6" ht="12.75">
      <c r="A147" s="135"/>
      <c r="B147" s="134"/>
      <c r="C147" s="134"/>
      <c r="D147" s="192"/>
      <c r="E147" s="193">
        <v>2007</v>
      </c>
      <c r="F147" s="135"/>
    </row>
    <row r="148" spans="1:6" ht="12.75">
      <c r="A148" s="134"/>
      <c r="B148" s="134"/>
      <c r="C148" s="134"/>
      <c r="D148" s="134" t="s">
        <v>325</v>
      </c>
      <c r="E148" s="194">
        <f>+'Method - A'!M51</f>
        <v>-0.09343557431526865</v>
      </c>
      <c r="F148" s="135"/>
    </row>
    <row r="149" spans="1:6" ht="12.75">
      <c r="A149" s="195"/>
      <c r="B149" s="192"/>
      <c r="C149" s="192"/>
      <c r="D149" s="134" t="s">
        <v>333</v>
      </c>
      <c r="E149" s="196">
        <v>4.333</v>
      </c>
      <c r="F149" s="135"/>
    </row>
    <row r="150" spans="1:7" ht="12.75">
      <c r="A150" s="197" t="s">
        <v>326</v>
      </c>
      <c r="B150" s="192"/>
      <c r="C150" s="192"/>
      <c r="D150" s="134"/>
      <c r="E150" s="196"/>
      <c r="F150" s="135"/>
      <c r="G150" s="185" t="s">
        <v>499</v>
      </c>
    </row>
    <row r="151" spans="1:8" ht="12.75">
      <c r="A151" s="198" t="s">
        <v>531</v>
      </c>
      <c r="B151" s="134"/>
      <c r="C151" s="134"/>
      <c r="D151" s="222" t="s">
        <v>200</v>
      </c>
      <c r="E151" s="193">
        <v>2007</v>
      </c>
      <c r="F151" s="135"/>
      <c r="G151" s="109">
        <v>2007</v>
      </c>
      <c r="H151" s="109">
        <v>2007</v>
      </c>
    </row>
    <row r="152" spans="1:8" ht="12.75">
      <c r="A152" s="135"/>
      <c r="B152" s="134"/>
      <c r="C152" s="134"/>
      <c r="D152" s="222" t="s">
        <v>170</v>
      </c>
      <c r="E152" s="223" t="s">
        <v>500</v>
      </c>
      <c r="F152" s="135"/>
      <c r="G152" s="184" t="s">
        <v>500</v>
      </c>
      <c r="H152" s="184" t="s">
        <v>500</v>
      </c>
    </row>
    <row r="153" spans="1:8" ht="12.75">
      <c r="A153" s="199" t="s">
        <v>337</v>
      </c>
      <c r="B153" s="134"/>
      <c r="C153" s="135"/>
      <c r="D153" s="222" t="s">
        <v>172</v>
      </c>
      <c r="E153" s="222" t="s">
        <v>501</v>
      </c>
      <c r="F153" s="135"/>
      <c r="G153" s="116" t="s">
        <v>502</v>
      </c>
      <c r="H153" s="116" t="s">
        <v>503</v>
      </c>
    </row>
    <row r="154" spans="1:6" ht="12.75">
      <c r="A154" s="200" t="s">
        <v>524</v>
      </c>
      <c r="B154" s="135"/>
      <c r="C154" s="135"/>
      <c r="D154" s="135"/>
      <c r="E154" s="135"/>
      <c r="F154" s="135"/>
    </row>
    <row r="155" spans="1:8" ht="12.75">
      <c r="A155" s="135"/>
      <c r="B155" s="201" t="s">
        <v>532</v>
      </c>
      <c r="C155" s="135"/>
      <c r="D155" s="202"/>
      <c r="E155" s="135"/>
      <c r="F155" s="135"/>
      <c r="G155" s="121"/>
      <c r="H155" s="121"/>
    </row>
    <row r="156" spans="1:8" ht="12.75">
      <c r="A156" s="135"/>
      <c r="B156" s="135"/>
      <c r="C156" s="203">
        <v>1</v>
      </c>
      <c r="D156" s="204">
        <v>45.32</v>
      </c>
      <c r="E156" s="136">
        <f>+D156*(1+$E$148)</f>
        <v>41.08549977203203</v>
      </c>
      <c r="F156" s="135"/>
      <c r="G156" s="121">
        <f>+E156*3</f>
        <v>123.2564993160961</v>
      </c>
      <c r="H156" s="121">
        <f>+E156*12/52</f>
        <v>9.481269178161238</v>
      </c>
    </row>
    <row r="157" spans="1:8" ht="12.75">
      <c r="A157" s="135"/>
      <c r="B157" s="135"/>
      <c r="C157" s="205">
        <v>2</v>
      </c>
      <c r="D157" s="204">
        <f>+D156*2</f>
        <v>90.64</v>
      </c>
      <c r="E157" s="136">
        <f>+D157*(1+$E$148)</f>
        <v>82.17099954406406</v>
      </c>
      <c r="F157" s="135"/>
      <c r="G157" s="121">
        <f>+E157*3</f>
        <v>246.5129986321922</v>
      </c>
      <c r="H157" s="121">
        <f>+E157*12/52</f>
        <v>18.962538356322476</v>
      </c>
    </row>
    <row r="158" spans="1:8" ht="12.75">
      <c r="A158" s="135"/>
      <c r="B158" s="135"/>
      <c r="C158" s="205">
        <v>3</v>
      </c>
      <c r="D158" s="204">
        <f>+D156*3</f>
        <v>135.96</v>
      </c>
      <c r="E158" s="136">
        <f>+D158*(1+$E$148)</f>
        <v>123.25649931609608</v>
      </c>
      <c r="F158" s="135"/>
      <c r="G158" s="121">
        <f>+E158*3</f>
        <v>369.76949794828823</v>
      </c>
      <c r="H158" s="121">
        <f>+E158*12/52</f>
        <v>28.44380753448371</v>
      </c>
    </row>
    <row r="159" spans="1:8" ht="12.75">
      <c r="A159" s="135"/>
      <c r="B159" s="135"/>
      <c r="C159" s="205">
        <v>4</v>
      </c>
      <c r="D159" s="204">
        <f>+D156*4</f>
        <v>181.28</v>
      </c>
      <c r="E159" s="136">
        <f>+D159*(1+$E$148)</f>
        <v>164.34199908812812</v>
      </c>
      <c r="F159" s="135"/>
      <c r="G159" s="121">
        <f>+E159*3</f>
        <v>493.0259972643844</v>
      </c>
      <c r="H159" s="121">
        <f>+E159*12/52</f>
        <v>37.92507671264495</v>
      </c>
    </row>
    <row r="160" spans="1:6" ht="12.75">
      <c r="A160" s="135"/>
      <c r="B160" s="135"/>
      <c r="C160" s="205"/>
      <c r="D160" s="206"/>
      <c r="E160" s="135"/>
      <c r="F160" s="135"/>
    </row>
    <row r="161" spans="1:6" ht="12.75">
      <c r="A161" s="135"/>
      <c r="B161" s="135"/>
      <c r="C161" s="205"/>
      <c r="D161" s="206"/>
      <c r="E161" s="135"/>
      <c r="F161" s="135"/>
    </row>
    <row r="162" spans="1:6" ht="12.75">
      <c r="A162" s="135"/>
      <c r="B162" s="135"/>
      <c r="C162" s="205"/>
      <c r="D162" s="225" t="s">
        <v>533</v>
      </c>
      <c r="E162" s="225"/>
      <c r="F162" s="225"/>
    </row>
    <row r="163" spans="1:6" ht="12.75">
      <c r="A163" s="195"/>
      <c r="B163" s="135"/>
      <c r="C163" s="135"/>
      <c r="D163" s="207" t="s">
        <v>514</v>
      </c>
      <c r="E163" s="207" t="s">
        <v>515</v>
      </c>
      <c r="F163" s="207" t="s">
        <v>516</v>
      </c>
    </row>
    <row r="164" spans="1:6" ht="12.75">
      <c r="A164" s="201" t="s">
        <v>513</v>
      </c>
      <c r="B164" s="135"/>
      <c r="C164" s="195"/>
      <c r="D164" s="208" t="s">
        <v>535</v>
      </c>
      <c r="E164" s="208" t="s">
        <v>536</v>
      </c>
      <c r="F164" s="208" t="s">
        <v>537</v>
      </c>
    </row>
    <row r="165" spans="1:6" ht="12.75">
      <c r="A165" s="135"/>
      <c r="B165" s="135"/>
      <c r="C165" s="205" t="s">
        <v>517</v>
      </c>
      <c r="D165" s="204">
        <v>168.51</v>
      </c>
      <c r="E165" s="204">
        <v>309.74</v>
      </c>
      <c r="F165" s="204">
        <v>450.98</v>
      </c>
    </row>
    <row r="166" spans="1:6" ht="12.75">
      <c r="A166" s="135"/>
      <c r="B166" s="135"/>
      <c r="C166" s="205" t="s">
        <v>518</v>
      </c>
      <c r="D166" s="204">
        <v>300.66</v>
      </c>
      <c r="E166" s="204">
        <v>583.12</v>
      </c>
      <c r="F166" s="204">
        <v>865.6</v>
      </c>
    </row>
    <row r="167" spans="1:6" ht="12.75">
      <c r="A167" s="135"/>
      <c r="B167" s="135"/>
      <c r="C167" s="135"/>
      <c r="D167" s="135"/>
      <c r="E167" s="135"/>
      <c r="F167" s="135"/>
    </row>
    <row r="168" spans="1:6" ht="12.75">
      <c r="A168" s="135"/>
      <c r="B168" s="135"/>
      <c r="C168" s="135"/>
      <c r="D168" s="226" t="s">
        <v>534</v>
      </c>
      <c r="E168" s="226"/>
      <c r="F168" s="226"/>
    </row>
    <row r="169" spans="1:6" ht="12.75">
      <c r="A169" s="135"/>
      <c r="B169" s="135"/>
      <c r="C169" s="205" t="s">
        <v>517</v>
      </c>
      <c r="D169" s="136">
        <f aca="true" t="shared" si="7" ref="D169:F170">+D165*(1+$E$148)</f>
        <v>152.7651713721341</v>
      </c>
      <c r="E169" s="136">
        <f t="shared" si="7"/>
        <v>280.7992652115887</v>
      </c>
      <c r="F169" s="136">
        <f t="shared" si="7"/>
        <v>408.84242469530017</v>
      </c>
    </row>
    <row r="170" spans="1:6" ht="12.75">
      <c r="A170" s="135"/>
      <c r="B170" s="135"/>
      <c r="C170" s="205" t="s">
        <v>518</v>
      </c>
      <c r="D170" s="136">
        <f t="shared" si="7"/>
        <v>272.56766022637134</v>
      </c>
      <c r="E170" s="136">
        <f t="shared" si="7"/>
        <v>528.6358479052806</v>
      </c>
      <c r="F170" s="136">
        <f t="shared" si="7"/>
        <v>784.7221668727035</v>
      </c>
    </row>
    <row r="171" spans="1:6" ht="12.75">
      <c r="A171" s="135"/>
      <c r="B171" s="135"/>
      <c r="C171" s="135"/>
      <c r="D171" s="135"/>
      <c r="E171" s="135"/>
      <c r="F171" s="135"/>
    </row>
    <row r="172" spans="1:6" ht="12.75">
      <c r="A172" s="135"/>
      <c r="B172" s="135"/>
      <c r="C172" s="135"/>
      <c r="D172" s="225" t="s">
        <v>533</v>
      </c>
      <c r="E172" s="225"/>
      <c r="F172" s="225"/>
    </row>
    <row r="173" spans="1:6" ht="12.75">
      <c r="A173" s="135"/>
      <c r="B173" s="135"/>
      <c r="C173" s="135"/>
      <c r="D173" s="209" t="s">
        <v>520</v>
      </c>
      <c r="E173" s="209" t="s">
        <v>521</v>
      </c>
      <c r="F173" s="209" t="s">
        <v>522</v>
      </c>
    </row>
    <row r="174" spans="1:6" ht="15">
      <c r="A174" s="210" t="s">
        <v>519</v>
      </c>
      <c r="B174" s="135"/>
      <c r="C174" s="135"/>
      <c r="D174" s="211" t="s">
        <v>538</v>
      </c>
      <c r="E174" s="211" t="s">
        <v>523</v>
      </c>
      <c r="F174" s="211" t="s">
        <v>539</v>
      </c>
    </row>
    <row r="175" spans="1:6" ht="12.75">
      <c r="A175" s="135"/>
      <c r="B175" s="135"/>
      <c r="C175" s="205" t="s">
        <v>517</v>
      </c>
      <c r="D175" s="204">
        <v>152.79</v>
      </c>
      <c r="E175" s="204">
        <v>280.84</v>
      </c>
      <c r="F175" s="204">
        <v>408.89</v>
      </c>
    </row>
    <row r="176" spans="1:6" ht="12.75">
      <c r="A176" s="135"/>
      <c r="B176" s="135"/>
      <c r="C176" s="205" t="s">
        <v>518</v>
      </c>
      <c r="D176" s="204">
        <v>269.22</v>
      </c>
      <c r="E176" s="204">
        <v>525.32</v>
      </c>
      <c r="F176" s="212">
        <v>781.42</v>
      </c>
    </row>
    <row r="177" spans="1:6" ht="12.75">
      <c r="A177" s="135"/>
      <c r="B177" s="135"/>
      <c r="C177" s="135"/>
      <c r="D177" s="135"/>
      <c r="E177" s="135"/>
      <c r="F177" s="135"/>
    </row>
    <row r="178" spans="1:6" ht="12.75">
      <c r="A178" s="135"/>
      <c r="B178" s="135"/>
      <c r="C178" s="135"/>
      <c r="D178" s="226" t="s">
        <v>534</v>
      </c>
      <c r="E178" s="226"/>
      <c r="F178" s="226"/>
    </row>
    <row r="179" spans="1:6" ht="12.75">
      <c r="A179" s="135"/>
      <c r="B179" s="135"/>
      <c r="C179" s="205" t="s">
        <v>517</v>
      </c>
      <c r="D179" s="136">
        <f aca="true" t="shared" si="8" ref="D179:F180">+D175*(1+$E$148)</f>
        <v>138.5139786003701</v>
      </c>
      <c r="E179" s="136">
        <f t="shared" si="8"/>
        <v>254.59955330929995</v>
      </c>
      <c r="F179" s="136">
        <f t="shared" si="8"/>
        <v>370.6851280182298</v>
      </c>
    </row>
    <row r="180" spans="1:6" ht="12.75">
      <c r="A180" s="135"/>
      <c r="B180" s="135"/>
      <c r="C180" s="205" t="s">
        <v>518</v>
      </c>
      <c r="D180" s="136">
        <f t="shared" si="8"/>
        <v>244.0652746828434</v>
      </c>
      <c r="E180" s="136">
        <f t="shared" si="8"/>
        <v>476.2364241007031</v>
      </c>
      <c r="F180" s="136">
        <f t="shared" si="8"/>
        <v>708.4075735185628</v>
      </c>
    </row>
    <row r="181" spans="1:11" s="169" customFormat="1" ht="12.75">
      <c r="A181" s="124"/>
      <c r="B181" s="124"/>
      <c r="C181" s="191"/>
      <c r="D181" s="121"/>
      <c r="E181" s="121"/>
      <c r="F181" s="121"/>
      <c r="G181" s="124"/>
      <c r="H181" s="124"/>
      <c r="I181" s="124"/>
      <c r="J181" s="124"/>
      <c r="K181" s="124"/>
    </row>
    <row r="182" spans="2:11" s="169" customFormat="1" ht="12.75" hidden="1">
      <c r="B182" s="213" t="s">
        <v>508</v>
      </c>
      <c r="C182" s="191"/>
      <c r="D182" s="121"/>
      <c r="E182" s="121"/>
      <c r="F182" s="121"/>
      <c r="G182" s="124"/>
      <c r="H182" s="124"/>
      <c r="I182" s="124"/>
      <c r="J182" s="124"/>
      <c r="K182" s="124"/>
    </row>
    <row r="183" spans="1:11" s="169" customFormat="1" ht="12.75" hidden="1">
      <c r="A183" s="227" t="s">
        <v>507</v>
      </c>
      <c r="B183" s="214" t="s">
        <v>525</v>
      </c>
      <c r="C183" s="191"/>
      <c r="D183" s="121"/>
      <c r="E183" s="121"/>
      <c r="F183" s="121"/>
      <c r="G183" s="124"/>
      <c r="H183" s="124"/>
      <c r="I183" s="124"/>
      <c r="J183" s="124"/>
      <c r="K183" s="124"/>
    </row>
    <row r="184" spans="1:11" s="169" customFormat="1" ht="12.75" hidden="1">
      <c r="A184" s="227"/>
      <c r="B184" s="215" t="s">
        <v>526</v>
      </c>
      <c r="C184" s="191"/>
      <c r="D184" s="121"/>
      <c r="E184" s="121"/>
      <c r="F184" s="121"/>
      <c r="G184" s="124"/>
      <c r="H184" s="124"/>
      <c r="I184" s="124"/>
      <c r="J184" s="124"/>
      <c r="K184" s="124"/>
    </row>
    <row r="185" spans="1:11" s="169" customFormat="1" ht="12.75" hidden="1">
      <c r="A185" s="227"/>
      <c r="B185" s="191" t="s">
        <v>527</v>
      </c>
      <c r="C185" s="191"/>
      <c r="D185" s="121"/>
      <c r="E185" s="121"/>
      <c r="F185" s="121"/>
      <c r="G185" s="124"/>
      <c r="H185" s="124"/>
      <c r="I185" s="124"/>
      <c r="J185" s="124"/>
      <c r="K185" s="124"/>
    </row>
    <row r="186" spans="1:11" s="169" customFormat="1" ht="12.75" hidden="1">
      <c r="A186" s="227" t="s">
        <v>507</v>
      </c>
      <c r="B186" s="191" t="s">
        <v>528</v>
      </c>
      <c r="C186" s="191"/>
      <c r="D186" s="121"/>
      <c r="E186" s="121"/>
      <c r="F186" s="121"/>
      <c r="G186" s="124"/>
      <c r="H186" s="124"/>
      <c r="I186" s="124"/>
      <c r="J186" s="124"/>
      <c r="K186" s="124"/>
    </row>
    <row r="187" spans="1:11" s="169" customFormat="1" ht="12.75" hidden="1">
      <c r="A187" s="227"/>
      <c r="B187" s="191" t="s">
        <v>529</v>
      </c>
      <c r="C187" s="191"/>
      <c r="D187" s="121"/>
      <c r="E187" s="121"/>
      <c r="F187" s="121"/>
      <c r="G187" s="124"/>
      <c r="H187" s="124"/>
      <c r="I187" s="124"/>
      <c r="J187" s="124"/>
      <c r="K187" s="124"/>
    </row>
    <row r="188" spans="1:11" s="169" customFormat="1" ht="12.75" hidden="1">
      <c r="A188" s="227"/>
      <c r="B188" s="188" t="s">
        <v>530</v>
      </c>
      <c r="C188" s="191"/>
      <c r="D188" s="121"/>
      <c r="E188" s="121"/>
      <c r="F188" s="121"/>
      <c r="G188" s="124"/>
      <c r="H188" s="124"/>
      <c r="I188" s="124"/>
      <c r="J188" s="124"/>
      <c r="K188" s="124"/>
    </row>
    <row r="189" spans="1:6" ht="12.75">
      <c r="A189" s="200" t="s">
        <v>559</v>
      </c>
      <c r="B189" s="135"/>
      <c r="C189" s="135"/>
      <c r="D189" s="225" t="s">
        <v>533</v>
      </c>
      <c r="E189" s="225"/>
      <c r="F189" s="225"/>
    </row>
    <row r="190" spans="1:6" ht="12.75">
      <c r="A190" s="135"/>
      <c r="B190" s="135"/>
      <c r="C190" s="135" t="s">
        <v>560</v>
      </c>
      <c r="D190" s="135" t="s">
        <v>561</v>
      </c>
      <c r="E190" s="135"/>
      <c r="F190" s="136">
        <v>217</v>
      </c>
    </row>
    <row r="191" spans="1:6" ht="12.75">
      <c r="A191" s="135"/>
      <c r="B191" s="135"/>
      <c r="C191" s="135" t="s">
        <v>562</v>
      </c>
      <c r="D191" s="135" t="s">
        <v>564</v>
      </c>
      <c r="E191" s="135"/>
      <c r="F191" s="136">
        <v>60</v>
      </c>
    </row>
    <row r="192" spans="1:6" ht="12.75">
      <c r="A192" s="135"/>
      <c r="B192" s="135"/>
      <c r="C192" s="135" t="s">
        <v>563</v>
      </c>
      <c r="D192" s="135" t="s">
        <v>564</v>
      </c>
      <c r="E192" s="135"/>
      <c r="F192" s="136">
        <v>5</v>
      </c>
    </row>
    <row r="193" spans="1:6" ht="12.75">
      <c r="A193" s="135"/>
      <c r="B193" s="135"/>
      <c r="C193" s="135"/>
      <c r="D193" s="135"/>
      <c r="E193" s="135"/>
      <c r="F193" s="135"/>
    </row>
    <row r="194" spans="1:6" ht="12.75">
      <c r="A194" s="135"/>
      <c r="B194" s="135"/>
      <c r="C194" s="135"/>
      <c r="D194" s="226" t="s">
        <v>534</v>
      </c>
      <c r="E194" s="226"/>
      <c r="F194" s="226"/>
    </row>
    <row r="195" spans="1:6" ht="12.75">
      <c r="A195" s="135"/>
      <c r="B195" s="135"/>
      <c r="C195" s="135" t="s">
        <v>560</v>
      </c>
      <c r="D195" s="135" t="s">
        <v>561</v>
      </c>
      <c r="E195" s="135"/>
      <c r="F195" s="136">
        <f>+F190*(1+$E$148)</f>
        <v>196.72448037358672</v>
      </c>
    </row>
    <row r="196" spans="1:6" ht="12.75">
      <c r="A196" s="135"/>
      <c r="B196" s="135"/>
      <c r="C196" s="135" t="s">
        <v>562</v>
      </c>
      <c r="D196" s="135" t="s">
        <v>564</v>
      </c>
      <c r="E196" s="135"/>
      <c r="F196" s="136">
        <f>+F191*(1+$E$148)</f>
        <v>54.39386554108388</v>
      </c>
    </row>
    <row r="197" spans="1:6" ht="12.75">
      <c r="A197" s="135"/>
      <c r="B197" s="135"/>
      <c r="C197" s="135" t="s">
        <v>563</v>
      </c>
      <c r="D197" s="135" t="s">
        <v>564</v>
      </c>
      <c r="E197" s="135"/>
      <c r="F197" s="136">
        <f>+F192*(1+$E$148)</f>
        <v>4.532822128423657</v>
      </c>
    </row>
  </sheetData>
  <mergeCells count="11">
    <mergeCell ref="D168:F168"/>
    <mergeCell ref="D178:F178"/>
    <mergeCell ref="A183:A185"/>
    <mergeCell ref="A25:A27"/>
    <mergeCell ref="A35:A37"/>
    <mergeCell ref="A38:A40"/>
    <mergeCell ref="D162:F162"/>
    <mergeCell ref="D189:F189"/>
    <mergeCell ref="D194:F194"/>
    <mergeCell ref="A186:A188"/>
    <mergeCell ref="D172:F172"/>
  </mergeCells>
  <printOptions/>
  <pageMargins left="0.75" right="0.75" top="1" bottom="1" header="0.5" footer="0.5"/>
  <pageSetup horizontalDpi="300" verticalDpi="300" orientation="portrait" r:id="rId1"/>
  <rowBreaks count="3" manualBreakCount="3">
    <brk id="41" max="255" man="1"/>
    <brk id="92" min="2" max="7" man="1"/>
    <brk id="143" min="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E32" sqref="E32"/>
    </sheetView>
  </sheetViews>
  <sheetFormatPr defaultColWidth="9.140625" defaultRowHeight="12.75"/>
  <cols>
    <col min="1" max="1" width="37.00390625" style="0" customWidth="1"/>
    <col min="2" max="2" width="6.140625" style="0" customWidth="1"/>
    <col min="3" max="3" width="9.140625" style="4" customWidth="1"/>
    <col min="4" max="4" width="1.7109375" style="4" customWidth="1"/>
    <col min="5" max="5" width="9.140625" style="4" customWidth="1"/>
    <col min="6" max="6" width="1.7109375" style="4" customWidth="1"/>
    <col min="7" max="7" width="9.140625" style="4" customWidth="1"/>
  </cols>
  <sheetData>
    <row r="1" ht="15">
      <c r="A1" s="2" t="s">
        <v>0</v>
      </c>
    </row>
    <row r="2" ht="15">
      <c r="A2" s="2" t="s">
        <v>465</v>
      </c>
    </row>
    <row r="3" ht="15">
      <c r="A3" s="2" t="s">
        <v>2</v>
      </c>
    </row>
    <row r="4" spans="1:7" s="10" customFormat="1" ht="12.75">
      <c r="A4" s="1"/>
      <c r="C4" s="175"/>
      <c r="D4" s="175"/>
      <c r="E4" s="175"/>
      <c r="F4" s="175"/>
      <c r="G4" s="175"/>
    </row>
    <row r="5" spans="1:7" s="10" customFormat="1" ht="12.75">
      <c r="A5" s="1"/>
      <c r="C5" s="175"/>
      <c r="D5" s="175"/>
      <c r="E5" s="175"/>
      <c r="F5" s="175"/>
      <c r="G5" s="175"/>
    </row>
    <row r="6" spans="1:7" s="10" customFormat="1" ht="12.75">
      <c r="A6" s="1"/>
      <c r="C6" s="175"/>
      <c r="D6" s="175"/>
      <c r="E6" s="175"/>
      <c r="F6" s="175"/>
      <c r="G6" s="175"/>
    </row>
    <row r="7" spans="1:7" s="10" customFormat="1" ht="12.75">
      <c r="A7" s="1"/>
      <c r="C7" s="176"/>
      <c r="D7" s="176"/>
      <c r="E7" s="7" t="s">
        <v>482</v>
      </c>
      <c r="F7" s="176"/>
      <c r="G7" s="176"/>
    </row>
    <row r="8" spans="3:7" ht="12.75">
      <c r="C8" s="7" t="s">
        <v>93</v>
      </c>
      <c r="D8" s="5"/>
      <c r="E8" s="7" t="s">
        <v>95</v>
      </c>
      <c r="F8" s="5"/>
      <c r="G8" s="7" t="s">
        <v>122</v>
      </c>
    </row>
    <row r="10" spans="1:7" ht="12.75">
      <c r="A10" t="s">
        <v>176</v>
      </c>
      <c r="B10" s="87" t="s">
        <v>493</v>
      </c>
      <c r="C10" s="4">
        <f>'Detail - proj debt C-3'!E19</f>
        <v>6374.84371191507</v>
      </c>
      <c r="E10" s="4">
        <f>'Detail - proj debt C-3'!G19</f>
        <v>13205.556288084932</v>
      </c>
      <c r="G10" s="4">
        <f>C10+E10</f>
        <v>19580.4</v>
      </c>
    </row>
    <row r="12" spans="1:7" ht="12.75">
      <c r="A12" t="s">
        <v>483</v>
      </c>
      <c r="B12" s="87" t="s">
        <v>493</v>
      </c>
      <c r="C12" s="4">
        <f>'Detail - proj debt C-3'!M19</f>
        <v>3347.4217685587278</v>
      </c>
      <c r="E12" s="4">
        <f>'Detail - proj debt C-3'!O19</f>
        <v>4476.698231441272</v>
      </c>
      <c r="G12" s="4">
        <f>C12+E12</f>
        <v>7824.119999999999</v>
      </c>
    </row>
    <row r="14" spans="1:7" ht="12.75">
      <c r="A14" t="s">
        <v>484</v>
      </c>
      <c r="B14" s="87" t="s">
        <v>494</v>
      </c>
      <c r="C14" s="4">
        <f>'Detail - proj debt C-3'!U19</f>
        <v>16295.250143487765</v>
      </c>
      <c r="E14" s="4">
        <f>'Detail - proj debt C-3'!W19</f>
        <v>21792.509856512235</v>
      </c>
      <c r="G14" s="4">
        <f>C14+E14</f>
        <v>38087.76</v>
      </c>
    </row>
    <row r="16" spans="1:7" ht="12.75">
      <c r="A16" s="10" t="s">
        <v>118</v>
      </c>
      <c r="B16" s="87" t="s">
        <v>494</v>
      </c>
      <c r="C16" s="4">
        <f>'Detail - proj debt C-3'!AC19</f>
        <v>6452.861604231381</v>
      </c>
      <c r="E16" s="4">
        <f>'Detail - proj debt C-3'!AE19</f>
        <v>8629.758395768618</v>
      </c>
      <c r="G16" s="4">
        <f>C16+E16</f>
        <v>15082.619999999999</v>
      </c>
    </row>
    <row r="18" spans="1:7" ht="12.75">
      <c r="A18" t="s">
        <v>165</v>
      </c>
      <c r="B18" s="87" t="s">
        <v>495</v>
      </c>
      <c r="C18" s="4">
        <f>'Detail - proj debt C-3'!AK19</f>
        <v>4502.232981258017</v>
      </c>
      <c r="E18" s="4">
        <f>'Detail - proj debt C-3'!AM19</f>
        <v>9326.447018741983</v>
      </c>
      <c r="G18" s="4">
        <f>C18+E18</f>
        <v>13828.68</v>
      </c>
    </row>
    <row r="20" spans="1:7" ht="12.75">
      <c r="A20" t="s">
        <v>166</v>
      </c>
      <c r="B20" s="87" t="s">
        <v>495</v>
      </c>
      <c r="C20" s="4">
        <f>'Detail - proj debt C-3'!AS19</f>
        <v>19291.87018475058</v>
      </c>
      <c r="E20" s="4">
        <f>'Detail - proj debt C-3'!AU19</f>
        <v>39963.34981524943</v>
      </c>
      <c r="G20" s="4">
        <f>C20+E20</f>
        <v>59255.22000000001</v>
      </c>
    </row>
    <row r="22" spans="1:7" ht="12.75">
      <c r="A22" t="s">
        <v>167</v>
      </c>
      <c r="B22" s="87" t="s">
        <v>496</v>
      </c>
      <c r="C22" s="4">
        <f>'Detail - proj debt C-3'!BA19</f>
        <v>2868.6796703617815</v>
      </c>
      <c r="E22" s="4">
        <f>'Detail - proj debt C-3'!BC19</f>
        <v>5942.500329638218</v>
      </c>
      <c r="G22" s="4">
        <f>C22+E22</f>
        <v>8811.18</v>
      </c>
    </row>
    <row r="24" spans="1:7" ht="12.75">
      <c r="A24" t="s">
        <v>485</v>
      </c>
      <c r="B24" s="87" t="s">
        <v>496</v>
      </c>
      <c r="C24" s="4">
        <f>'Detail - proj debt C-3'!BI19</f>
        <v>5976.4157197323775</v>
      </c>
      <c r="E24" s="4">
        <f>'Detail - proj debt C-3'!BK19</f>
        <v>12380.224280267625</v>
      </c>
      <c r="G24" s="4">
        <f>C24+E24</f>
        <v>18356.640000000003</v>
      </c>
    </row>
    <row r="26" spans="1:7" ht="12.75">
      <c r="A26" t="s">
        <v>168</v>
      </c>
      <c r="B26" s="87" t="s">
        <v>497</v>
      </c>
      <c r="C26" s="4">
        <f>'Detail - proj debt C-3'!BQ19</f>
        <v>5747.079492248324</v>
      </c>
      <c r="E26" s="4">
        <f>'Detail - proj debt C-3'!BS19</f>
        <v>7685.900507751677</v>
      </c>
      <c r="G26" s="4">
        <f>C26+E26</f>
        <v>13432.98</v>
      </c>
    </row>
    <row r="28" spans="1:7" ht="12.75">
      <c r="A28" t="s">
        <v>486</v>
      </c>
      <c r="B28" s="87" t="s">
        <v>497</v>
      </c>
      <c r="C28" s="4">
        <f>'Detail - proj debt C-3'!BY16</f>
        <v>11393.675208679198</v>
      </c>
      <c r="E28" s="4">
        <f>'Detail - proj debt C-3'!CA16</f>
        <v>22872.624791320803</v>
      </c>
      <c r="G28" s="4">
        <f>C28+E28</f>
        <v>34266.3</v>
      </c>
    </row>
    <row r="29" spans="3:7" ht="12.75">
      <c r="C29" s="23"/>
      <c r="E29" s="23"/>
      <c r="G29" s="23"/>
    </row>
    <row r="31" spans="1:7" ht="13.5" thickBot="1">
      <c r="A31" t="s">
        <v>487</v>
      </c>
      <c r="C31" s="31">
        <f>SUM(C10:C28)</f>
        <v>82250.33048522321</v>
      </c>
      <c r="E31" s="177">
        <f>SUM(E10:E28)</f>
        <v>146275.56951477678</v>
      </c>
      <c r="G31" s="31">
        <f>SUM(G10:G28)</f>
        <v>228525.90000000002</v>
      </c>
    </row>
    <row r="32" ht="13.5" thickTop="1">
      <c r="E32" s="90" t="s">
        <v>294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F101"/>
  <sheetViews>
    <sheetView workbookViewId="0" topLeftCell="B1">
      <selection activeCell="E20" sqref="E20"/>
    </sheetView>
  </sheetViews>
  <sheetFormatPr defaultColWidth="9.140625" defaultRowHeight="12.75"/>
  <cols>
    <col min="1" max="1" width="14.8515625" style="0" customWidth="1"/>
    <col min="2" max="2" width="1.7109375" style="0" customWidth="1"/>
    <col min="3" max="3" width="9.28125" style="0" bestFit="1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10.140625" style="4" bestFit="1" customWidth="1"/>
    <col min="10" max="10" width="5.7109375" style="0" customWidth="1"/>
    <col min="11" max="11" width="9.421875" style="173" bestFit="1" customWidth="1"/>
    <col min="12" max="12" width="1.7109375" style="4" customWidth="1"/>
    <col min="13" max="13" width="9.28125" style="4" bestFit="1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9.421875" style="4" bestFit="1" customWidth="1"/>
    <col min="18" max="18" width="5.7109375" style="0" customWidth="1"/>
    <col min="19" max="19" width="10.8515625" style="15" bestFit="1" customWidth="1"/>
    <col min="20" max="20" width="1.7109375" style="4" customWidth="1"/>
    <col min="21" max="21" width="9.28125" style="4" bestFit="1" customWidth="1"/>
    <col min="22" max="22" width="1.7109375" style="4" customWidth="1"/>
    <col min="23" max="23" width="9.28125" style="4" bestFit="1" customWidth="1"/>
    <col min="24" max="24" width="1.7109375" style="4" customWidth="1"/>
    <col min="25" max="25" width="9.140625" style="4" customWidth="1"/>
    <col min="26" max="26" width="3.7109375" style="0" customWidth="1"/>
    <col min="27" max="27" width="9.28125" style="15" bestFit="1" customWidth="1"/>
    <col min="28" max="28" width="1.7109375" style="4" customWidth="1"/>
    <col min="29" max="29" width="9.140625" style="4" customWidth="1"/>
    <col min="30" max="30" width="1.7109375" style="4" customWidth="1"/>
    <col min="31" max="31" width="9.140625" style="4" customWidth="1"/>
    <col min="32" max="32" width="1.7109375" style="4" customWidth="1"/>
    <col min="33" max="33" width="9.140625" style="4" customWidth="1"/>
    <col min="34" max="34" width="5.28125" style="0" customWidth="1"/>
    <col min="35" max="35" width="9.28125" style="15" bestFit="1" customWidth="1"/>
    <col min="36" max="36" width="1.7109375" style="4" customWidth="1"/>
    <col min="37" max="37" width="9.140625" style="4" customWidth="1"/>
    <col min="38" max="38" width="1.7109375" style="4" customWidth="1"/>
    <col min="39" max="39" width="9.140625" style="4" customWidth="1"/>
    <col min="40" max="40" width="1.7109375" style="4" customWidth="1"/>
    <col min="41" max="41" width="9.140625" style="4" customWidth="1"/>
    <col min="42" max="42" width="4.00390625" style="0" customWidth="1"/>
    <col min="43" max="43" width="9.28125" style="15" bestFit="1" customWidth="1"/>
    <col min="44" max="44" width="1.7109375" style="4" customWidth="1"/>
    <col min="45" max="45" width="9.140625" style="4" customWidth="1"/>
    <col min="46" max="46" width="1.7109375" style="4" customWidth="1"/>
    <col min="47" max="47" width="9.140625" style="4" customWidth="1"/>
    <col min="48" max="48" width="1.7109375" style="4" customWidth="1"/>
    <col min="49" max="49" width="9.140625" style="4" customWidth="1"/>
    <col min="50" max="50" width="3.7109375" style="0" customWidth="1"/>
    <col min="52" max="52" width="1.7109375" style="4" customWidth="1"/>
    <col min="53" max="53" width="9.140625" style="4" customWidth="1"/>
    <col min="54" max="54" width="1.7109375" style="4" customWidth="1"/>
    <col min="55" max="55" width="9.140625" style="4" customWidth="1"/>
    <col min="56" max="56" width="1.7109375" style="4" customWidth="1"/>
    <col min="57" max="57" width="9.140625" style="4" customWidth="1"/>
    <col min="58" max="58" width="3.57421875" style="0" customWidth="1"/>
    <col min="59" max="59" width="9.28125" style="15" bestFit="1" customWidth="1"/>
    <col min="60" max="60" width="1.7109375" style="4" customWidth="1"/>
    <col min="61" max="61" width="9.140625" style="4" customWidth="1"/>
    <col min="62" max="62" width="1.7109375" style="4" customWidth="1"/>
    <col min="63" max="63" width="9.140625" style="4" customWidth="1"/>
    <col min="64" max="64" width="1.7109375" style="4" customWidth="1"/>
    <col min="65" max="65" width="9.140625" style="4" customWidth="1"/>
    <col min="66" max="66" width="4.7109375" style="0" customWidth="1"/>
    <col min="67" max="67" width="9.28125" style="15" bestFit="1" customWidth="1"/>
    <col min="68" max="68" width="1.7109375" style="4" customWidth="1"/>
    <col min="69" max="69" width="9.140625" style="4" customWidth="1"/>
    <col min="70" max="70" width="1.7109375" style="4" customWidth="1"/>
    <col min="71" max="71" width="9.140625" style="4" customWidth="1"/>
    <col min="72" max="72" width="1.7109375" style="4" customWidth="1"/>
    <col min="73" max="73" width="9.140625" style="4" customWidth="1"/>
    <col min="74" max="74" width="5.7109375" style="0" customWidth="1"/>
    <col min="76" max="76" width="1.7109375" style="4" customWidth="1"/>
    <col min="77" max="77" width="9.140625" style="4" customWidth="1"/>
    <col min="78" max="78" width="1.7109375" style="4" customWidth="1"/>
    <col min="79" max="79" width="9.140625" style="4" customWidth="1"/>
    <col min="80" max="80" width="1.7109375" style="4" customWidth="1"/>
    <col min="81" max="81" width="9.140625" style="4" customWidth="1"/>
    <col min="84" max="84" width="10.28125" style="0" bestFit="1" customWidth="1"/>
  </cols>
  <sheetData>
    <row r="1" ht="15">
      <c r="A1" s="2" t="s">
        <v>0</v>
      </c>
    </row>
    <row r="2" ht="15">
      <c r="A2" s="2" t="s">
        <v>465</v>
      </c>
    </row>
    <row r="3" ht="15">
      <c r="A3" s="2" t="s">
        <v>2</v>
      </c>
    </row>
    <row r="5" spans="1:3" ht="12.75">
      <c r="A5" t="s">
        <v>466</v>
      </c>
      <c r="C5" s="21">
        <v>0.0825</v>
      </c>
    </row>
    <row r="7" spans="3:81" ht="12.75">
      <c r="C7" s="19"/>
      <c r="D7" s="19"/>
      <c r="E7" s="19"/>
      <c r="F7" s="14" t="s">
        <v>467</v>
      </c>
      <c r="G7" s="19"/>
      <c r="H7" s="19"/>
      <c r="I7" s="23"/>
      <c r="K7" s="53"/>
      <c r="L7" s="23"/>
      <c r="M7" s="23"/>
      <c r="N7" s="7" t="s">
        <v>468</v>
      </c>
      <c r="O7" s="23"/>
      <c r="P7" s="23"/>
      <c r="Q7" s="23"/>
      <c r="S7" s="16"/>
      <c r="T7" s="23"/>
      <c r="U7" s="23"/>
      <c r="V7" s="7" t="s">
        <v>469</v>
      </c>
      <c r="W7" s="23"/>
      <c r="X7" s="23"/>
      <c r="Y7" s="23"/>
      <c r="AA7" s="16"/>
      <c r="AB7" s="23"/>
      <c r="AC7" s="23"/>
      <c r="AD7" s="5" t="s">
        <v>470</v>
      </c>
      <c r="AE7" s="23"/>
      <c r="AF7" s="23"/>
      <c r="AG7" s="23"/>
      <c r="AI7" s="16"/>
      <c r="AJ7" s="23"/>
      <c r="AK7" s="23"/>
      <c r="AL7" s="5" t="s">
        <v>471</v>
      </c>
      <c r="AM7" s="23"/>
      <c r="AN7" s="23"/>
      <c r="AO7" s="23"/>
      <c r="AQ7" s="16"/>
      <c r="AR7" s="23"/>
      <c r="AS7" s="23"/>
      <c r="AT7" s="3" t="s">
        <v>472</v>
      </c>
      <c r="AU7" s="23"/>
      <c r="AV7" s="23"/>
      <c r="AW7" s="23"/>
      <c r="AY7" s="16"/>
      <c r="AZ7" s="23"/>
      <c r="BA7" s="23"/>
      <c r="BB7" s="5" t="s">
        <v>473</v>
      </c>
      <c r="BC7" s="23"/>
      <c r="BD7" s="23"/>
      <c r="BE7" s="23"/>
      <c r="BG7" s="16"/>
      <c r="BH7" s="23"/>
      <c r="BI7" s="23"/>
      <c r="BJ7" s="3" t="s">
        <v>474</v>
      </c>
      <c r="BK7" s="23"/>
      <c r="BL7" s="23"/>
      <c r="BM7" s="23"/>
      <c r="BO7" s="16"/>
      <c r="BP7" s="23"/>
      <c r="BQ7" s="23"/>
      <c r="BR7" s="3" t="s">
        <v>475</v>
      </c>
      <c r="BS7" s="23"/>
      <c r="BT7" s="23"/>
      <c r="BU7" s="23"/>
      <c r="BW7" s="16"/>
      <c r="BX7" s="23"/>
      <c r="BY7" s="23"/>
      <c r="BZ7" s="5" t="s">
        <v>476</v>
      </c>
      <c r="CA7" s="23"/>
      <c r="CB7" s="23"/>
      <c r="CC7" s="23"/>
    </row>
    <row r="8" spans="5:84" ht="12.75">
      <c r="E8" s="3" t="s">
        <v>93</v>
      </c>
      <c r="G8" s="3"/>
      <c r="M8" s="5" t="s">
        <v>93</v>
      </c>
      <c r="O8" s="5"/>
      <c r="U8" s="5" t="s">
        <v>93</v>
      </c>
      <c r="W8" s="5"/>
      <c r="AC8" s="5" t="s">
        <v>93</v>
      </c>
      <c r="AE8" s="5"/>
      <c r="AK8" s="5" t="s">
        <v>93</v>
      </c>
      <c r="AM8" s="5"/>
      <c r="AS8" s="5" t="s">
        <v>93</v>
      </c>
      <c r="AU8" s="5"/>
      <c r="AY8" s="15"/>
      <c r="BA8" s="5" t="s">
        <v>93</v>
      </c>
      <c r="BC8" s="5"/>
      <c r="BI8" s="5" t="s">
        <v>93</v>
      </c>
      <c r="BK8" s="5"/>
      <c r="BQ8" s="5" t="s">
        <v>93</v>
      </c>
      <c r="BS8" s="5"/>
      <c r="BW8" s="15"/>
      <c r="BY8" s="5" t="s">
        <v>93</v>
      </c>
      <c r="CA8" s="5"/>
      <c r="CF8" s="3" t="s">
        <v>122</v>
      </c>
    </row>
    <row r="9" spans="3:84" ht="12.75">
      <c r="C9" s="14" t="s">
        <v>477</v>
      </c>
      <c r="D9" s="3"/>
      <c r="E9" s="14">
        <f>$C5/12</f>
        <v>0.006875</v>
      </c>
      <c r="F9" s="3"/>
      <c r="G9" s="14" t="s">
        <v>95</v>
      </c>
      <c r="H9" s="3"/>
      <c r="I9" s="7" t="s">
        <v>478</v>
      </c>
      <c r="K9" s="174" t="s">
        <v>477</v>
      </c>
      <c r="L9" s="5"/>
      <c r="M9" s="14">
        <f>$C5/12</f>
        <v>0.006875</v>
      </c>
      <c r="N9" s="5"/>
      <c r="O9" s="7" t="s">
        <v>95</v>
      </c>
      <c r="P9" s="5"/>
      <c r="Q9" s="7" t="s">
        <v>478</v>
      </c>
      <c r="S9" s="29" t="s">
        <v>477</v>
      </c>
      <c r="T9" s="5"/>
      <c r="U9" s="14">
        <f>$C5/12</f>
        <v>0.006875</v>
      </c>
      <c r="V9" s="5"/>
      <c r="W9" s="7" t="s">
        <v>95</v>
      </c>
      <c r="X9" s="5"/>
      <c r="Y9" s="7" t="s">
        <v>478</v>
      </c>
      <c r="AA9" s="29" t="s">
        <v>477</v>
      </c>
      <c r="AB9" s="5"/>
      <c r="AC9" s="14">
        <f>$C5/12</f>
        <v>0.006875</v>
      </c>
      <c r="AD9" s="5"/>
      <c r="AE9" s="7" t="s">
        <v>95</v>
      </c>
      <c r="AF9" s="5"/>
      <c r="AG9" s="7" t="s">
        <v>478</v>
      </c>
      <c r="AI9" s="29" t="s">
        <v>477</v>
      </c>
      <c r="AJ9" s="5"/>
      <c r="AK9" s="14">
        <f>$C5/12</f>
        <v>0.006875</v>
      </c>
      <c r="AL9" s="5"/>
      <c r="AM9" s="7" t="s">
        <v>95</v>
      </c>
      <c r="AN9" s="5"/>
      <c r="AO9" s="7" t="s">
        <v>478</v>
      </c>
      <c r="AQ9" s="29" t="s">
        <v>477</v>
      </c>
      <c r="AR9" s="5"/>
      <c r="AS9" s="14">
        <f>$C5/12</f>
        <v>0.006875</v>
      </c>
      <c r="AT9" s="5"/>
      <c r="AU9" s="7" t="s">
        <v>95</v>
      </c>
      <c r="AV9" s="5"/>
      <c r="AW9" s="7" t="s">
        <v>478</v>
      </c>
      <c r="AY9" s="29" t="s">
        <v>477</v>
      </c>
      <c r="AZ9" s="5"/>
      <c r="BA9" s="14">
        <f>$C5/12</f>
        <v>0.006875</v>
      </c>
      <c r="BB9" s="5"/>
      <c r="BC9" s="7" t="s">
        <v>95</v>
      </c>
      <c r="BD9" s="5"/>
      <c r="BE9" s="7" t="s">
        <v>478</v>
      </c>
      <c r="BG9" s="29" t="s">
        <v>477</v>
      </c>
      <c r="BH9" s="5"/>
      <c r="BI9" s="14">
        <f>$C5/12</f>
        <v>0.006875</v>
      </c>
      <c r="BJ9" s="5"/>
      <c r="BK9" s="7" t="s">
        <v>95</v>
      </c>
      <c r="BL9" s="5"/>
      <c r="BM9" s="7" t="s">
        <v>478</v>
      </c>
      <c r="BO9" s="29" t="s">
        <v>477</v>
      </c>
      <c r="BP9" s="5"/>
      <c r="BQ9" s="14">
        <f>$C5/12</f>
        <v>0.006875</v>
      </c>
      <c r="BR9" s="5"/>
      <c r="BS9" s="7" t="s">
        <v>95</v>
      </c>
      <c r="BT9" s="5"/>
      <c r="BU9" s="7" t="s">
        <v>478</v>
      </c>
      <c r="BW9" s="29" t="s">
        <v>477</v>
      </c>
      <c r="BX9" s="5"/>
      <c r="BY9" s="14">
        <f>$C5/12</f>
        <v>0.006875</v>
      </c>
      <c r="BZ9" s="5"/>
      <c r="CA9" s="7" t="s">
        <v>95</v>
      </c>
      <c r="CB9" s="5"/>
      <c r="CC9" s="7" t="s">
        <v>478</v>
      </c>
      <c r="CF9" s="14" t="s">
        <v>479</v>
      </c>
    </row>
    <row r="11" spans="1:84" ht="13.5" thickBot="1">
      <c r="A11" t="s">
        <v>480</v>
      </c>
      <c r="I11" s="4">
        <v>160000</v>
      </c>
      <c r="Q11" s="4">
        <v>83000</v>
      </c>
      <c r="Y11" s="4">
        <v>404044</v>
      </c>
      <c r="AG11" s="4">
        <v>160000</v>
      </c>
      <c r="AO11" s="4">
        <v>113000</v>
      </c>
      <c r="AW11" s="4">
        <v>484200</v>
      </c>
      <c r="BE11" s="4">
        <v>72000</v>
      </c>
      <c r="BM11" s="4">
        <v>150000</v>
      </c>
      <c r="BU11" s="4">
        <v>142500</v>
      </c>
      <c r="CC11" s="4">
        <v>560010</v>
      </c>
      <c r="CF11" s="31">
        <f>I11+Q11+Y11+AG11+AO11+AW11+BE11+BM11+BU11+CC11</f>
        <v>2328754</v>
      </c>
    </row>
    <row r="12" ht="13.5" thickTop="1"/>
    <row r="13" spans="1:81" ht="12.75">
      <c r="A13" s="9">
        <v>1</v>
      </c>
      <c r="C13">
        <v>3263.4</v>
      </c>
      <c r="E13" s="4">
        <f>I11*E$9</f>
        <v>1100</v>
      </c>
      <c r="G13" s="4">
        <f aca="true" t="shared" si="0" ref="G13:G18">C13-E13</f>
        <v>2163.4</v>
      </c>
      <c r="I13" s="4">
        <f>I11-G13</f>
        <v>157836.6</v>
      </c>
      <c r="K13" s="173">
        <v>1304.02</v>
      </c>
      <c r="M13" s="4">
        <f>Q11*M$9</f>
        <v>570.625</v>
      </c>
      <c r="N13"/>
      <c r="O13" s="4">
        <f aca="true" t="shared" si="1" ref="O13:O18">K13-M13</f>
        <v>733.395</v>
      </c>
      <c r="P13"/>
      <c r="Q13" s="4">
        <f>Q11-O13</f>
        <v>82266.605</v>
      </c>
      <c r="S13" s="15">
        <v>6347.96</v>
      </c>
      <c r="U13" s="4">
        <f>Y11*U$9</f>
        <v>2777.8025000000002</v>
      </c>
      <c r="W13" s="4">
        <f aca="true" t="shared" si="2" ref="W13:W18">S13-U13</f>
        <v>3570.1575</v>
      </c>
      <c r="Y13" s="4">
        <f>Y11-W13</f>
        <v>400473.8425</v>
      </c>
      <c r="AA13" s="15">
        <v>2513.77</v>
      </c>
      <c r="AC13" s="4">
        <f>AG11*AC$9</f>
        <v>1100</v>
      </c>
      <c r="AE13" s="4">
        <f aca="true" t="shared" si="3" ref="AE13:AE18">AA13-AC13</f>
        <v>1413.77</v>
      </c>
      <c r="AG13" s="4">
        <f>AG11-AE13</f>
        <v>158586.23</v>
      </c>
      <c r="AI13" s="15">
        <v>2304.78</v>
      </c>
      <c r="AK13" s="4">
        <f>AO11*AK$9</f>
        <v>776.875</v>
      </c>
      <c r="AM13" s="4">
        <f aca="true" t="shared" si="4" ref="AM13:AM18">AI13-AK13</f>
        <v>1527.9050000000002</v>
      </c>
      <c r="AO13" s="4">
        <f>AO11-AM13</f>
        <v>111472.095</v>
      </c>
      <c r="AQ13" s="15">
        <v>9875.87</v>
      </c>
      <c r="AS13" s="4">
        <f>AW11*AS$9</f>
        <v>3328.875</v>
      </c>
      <c r="AU13" s="4">
        <f aca="true" t="shared" si="5" ref="AU13:AU18">AQ13-AS13</f>
        <v>6546.995000000001</v>
      </c>
      <c r="AW13" s="4">
        <f>AW11-AU13</f>
        <v>477653.005</v>
      </c>
      <c r="AY13">
        <v>1468.53</v>
      </c>
      <c r="BA13" s="4">
        <f>BE11*BA$9</f>
        <v>495</v>
      </c>
      <c r="BC13" s="4">
        <f aca="true" t="shared" si="6" ref="BC13:BC18">AY13-BA13</f>
        <v>973.53</v>
      </c>
      <c r="BE13" s="4">
        <f>BE11-BC13</f>
        <v>71026.47</v>
      </c>
      <c r="BG13" s="15">
        <v>3059.44</v>
      </c>
      <c r="BI13" s="4">
        <f>BM11*BI$9</f>
        <v>1031.25</v>
      </c>
      <c r="BK13" s="4">
        <f aca="true" t="shared" si="7" ref="BK13:BK18">BG13-BI13</f>
        <v>2028.19</v>
      </c>
      <c r="BM13" s="4">
        <f>BM11-BK13</f>
        <v>147971.81</v>
      </c>
      <c r="BO13" s="15">
        <v>2238.83</v>
      </c>
      <c r="BQ13" s="4">
        <f>BU11*BQ$9</f>
        <v>979.6875</v>
      </c>
      <c r="BS13" s="4">
        <f aca="true" t="shared" si="8" ref="BS13:BS18">BO13-BQ13</f>
        <v>1259.1425</v>
      </c>
      <c r="BU13" s="4">
        <f>BU11-BS13</f>
        <v>141240.8575</v>
      </c>
      <c r="BW13">
        <v>11422.1</v>
      </c>
      <c r="BY13" s="4">
        <f>CC11*BY$9</f>
        <v>3850.06875</v>
      </c>
      <c r="CA13" s="4">
        <f>BW13-BY13</f>
        <v>7572.03125</v>
      </c>
      <c r="CC13" s="4">
        <f>CC11-CA13</f>
        <v>552437.96875</v>
      </c>
    </row>
    <row r="14" spans="1:81" ht="12.75">
      <c r="A14" s="9">
        <v>2</v>
      </c>
      <c r="C14">
        <v>3263.4</v>
      </c>
      <c r="E14" s="4">
        <f>I13*E$9</f>
        <v>1085.126625</v>
      </c>
      <c r="G14" s="4">
        <f t="shared" si="0"/>
        <v>2178.2733749999998</v>
      </c>
      <c r="I14" s="4">
        <f>I13-G14</f>
        <v>155658.32662500002</v>
      </c>
      <c r="K14" s="173">
        <v>1304.02</v>
      </c>
      <c r="M14" s="4">
        <f>Q13*M$9</f>
        <v>565.582909375</v>
      </c>
      <c r="N14"/>
      <c r="O14" s="4">
        <f t="shared" si="1"/>
        <v>738.437090625</v>
      </c>
      <c r="P14"/>
      <c r="Q14" s="4">
        <f>Q13-O14</f>
        <v>81528.167909375</v>
      </c>
      <c r="S14" s="15">
        <v>6347.96</v>
      </c>
      <c r="U14" s="4">
        <f>Y13*U$9</f>
        <v>2753.2576671875004</v>
      </c>
      <c r="W14" s="4">
        <f t="shared" si="2"/>
        <v>3594.7023328124997</v>
      </c>
      <c r="Y14" s="4">
        <f>Y13-W14</f>
        <v>396879.14016718755</v>
      </c>
      <c r="AA14" s="15">
        <v>2513.77</v>
      </c>
      <c r="AC14" s="4">
        <f>AG13*AC$9</f>
        <v>1090.28033125</v>
      </c>
      <c r="AE14" s="4">
        <f t="shared" si="3"/>
        <v>1423.48966875</v>
      </c>
      <c r="AG14" s="4">
        <f>AG13-AE14</f>
        <v>157162.74033125</v>
      </c>
      <c r="AI14" s="15">
        <v>2304.78</v>
      </c>
      <c r="AK14" s="4">
        <f>AO13*AK$9</f>
        <v>766.370653125</v>
      </c>
      <c r="AM14" s="4">
        <f t="shared" si="4"/>
        <v>1538.4093468750002</v>
      </c>
      <c r="AO14" s="4">
        <f>AO13-AM14</f>
        <v>109933.685653125</v>
      </c>
      <c r="AQ14" s="15">
        <v>9875.87</v>
      </c>
      <c r="AS14" s="4">
        <f>AW13*AS$9</f>
        <v>3283.864409375</v>
      </c>
      <c r="AU14" s="4">
        <f t="shared" si="5"/>
        <v>6592.005590625001</v>
      </c>
      <c r="AW14" s="4">
        <f>AW13-AU14</f>
        <v>471060.999409375</v>
      </c>
      <c r="AY14">
        <v>1468.53</v>
      </c>
      <c r="BA14" s="4">
        <f>BE13*BA$9</f>
        <v>488.30698125000004</v>
      </c>
      <c r="BC14" s="4">
        <f t="shared" si="6"/>
        <v>980.2230187499999</v>
      </c>
      <c r="BE14" s="4">
        <f>BE13-BC14</f>
        <v>70046.24698125</v>
      </c>
      <c r="BG14" s="15">
        <v>3059.44</v>
      </c>
      <c r="BI14" s="4">
        <f>BM13*BI$9</f>
        <v>1017.30619375</v>
      </c>
      <c r="BK14" s="4">
        <f t="shared" si="7"/>
        <v>2042.13380625</v>
      </c>
      <c r="BM14" s="4">
        <f>BM13-BK14</f>
        <v>145929.67619375</v>
      </c>
      <c r="BO14" s="15">
        <v>2238.83</v>
      </c>
      <c r="BQ14" s="4">
        <f>BU13*BQ$9</f>
        <v>971.0308953125001</v>
      </c>
      <c r="BS14" s="4">
        <f t="shared" si="8"/>
        <v>1267.7991046875</v>
      </c>
      <c r="BU14" s="4">
        <f>BU13-BS14</f>
        <v>139973.05839531252</v>
      </c>
      <c r="BW14">
        <v>11422.1</v>
      </c>
      <c r="BY14" s="4">
        <f>CC13*BY$9</f>
        <v>3798.01103515625</v>
      </c>
      <c r="CA14" s="4">
        <f>BW14-BY14</f>
        <v>7624.088964843751</v>
      </c>
      <c r="CC14" s="4">
        <f>CC13-CA14</f>
        <v>544813.8797851562</v>
      </c>
    </row>
    <row r="15" spans="1:81" ht="12.75">
      <c r="A15" s="9">
        <v>3</v>
      </c>
      <c r="C15">
        <v>3263.4</v>
      </c>
      <c r="E15" s="4">
        <f>I14*E$9</f>
        <v>1070.150995546875</v>
      </c>
      <c r="G15" s="4">
        <f t="shared" si="0"/>
        <v>2193.249004453125</v>
      </c>
      <c r="I15" s="4">
        <f>I14-G15</f>
        <v>153465.0776205469</v>
      </c>
      <c r="K15" s="173">
        <v>1304.02</v>
      </c>
      <c r="M15" s="4">
        <f>Q14*M$9</f>
        <v>560.5061543769531</v>
      </c>
      <c r="N15"/>
      <c r="O15" s="4">
        <f t="shared" si="1"/>
        <v>743.5138456230469</v>
      </c>
      <c r="P15"/>
      <c r="Q15" s="4">
        <f>Q14-O15</f>
        <v>80784.65406375195</v>
      </c>
      <c r="S15" s="15">
        <v>6347.96</v>
      </c>
      <c r="U15" s="4">
        <f>Y14*U$9</f>
        <v>2728.5440886494143</v>
      </c>
      <c r="W15" s="4">
        <f t="shared" si="2"/>
        <v>3619.4159113505857</v>
      </c>
      <c r="Y15" s="4">
        <f>Y14-W15</f>
        <v>393259.724255837</v>
      </c>
      <c r="AA15" s="15">
        <v>2513.77</v>
      </c>
      <c r="AC15" s="4">
        <f>AG14*AC$9</f>
        <v>1080.4938397773437</v>
      </c>
      <c r="AE15" s="4">
        <f t="shared" si="3"/>
        <v>1433.2761602226562</v>
      </c>
      <c r="AG15" s="4">
        <f>AG14-AE15</f>
        <v>155729.46417102736</v>
      </c>
      <c r="AI15" s="15">
        <v>2304.78</v>
      </c>
      <c r="AK15" s="4">
        <f>AO14*AK$9</f>
        <v>755.7940888652344</v>
      </c>
      <c r="AM15" s="4">
        <f t="shared" si="4"/>
        <v>1548.985911134766</v>
      </c>
      <c r="AO15" s="4">
        <f>AO14-AM15</f>
        <v>108384.69974199023</v>
      </c>
      <c r="AQ15" s="15">
        <v>9875.87</v>
      </c>
      <c r="AS15" s="4">
        <f>AW14*AS$9</f>
        <v>3238.544370939453</v>
      </c>
      <c r="AU15" s="4">
        <f t="shared" si="5"/>
        <v>6637.325629060548</v>
      </c>
      <c r="AW15" s="4">
        <f>AW14-AU15</f>
        <v>464423.67378031445</v>
      </c>
      <c r="AY15">
        <v>1468.53</v>
      </c>
      <c r="BA15" s="4">
        <f>BE14*BA$9</f>
        <v>481.5679479960938</v>
      </c>
      <c r="BC15" s="4">
        <f t="shared" si="6"/>
        <v>986.9620520039061</v>
      </c>
      <c r="BE15" s="4">
        <f>BE14-BC15</f>
        <v>69059.2849292461</v>
      </c>
      <c r="BG15" s="15">
        <v>3059.44</v>
      </c>
      <c r="BI15" s="4">
        <f>BM14*BI$9</f>
        <v>1003.2665238320312</v>
      </c>
      <c r="BK15" s="4">
        <f t="shared" si="7"/>
        <v>2056.173476167969</v>
      </c>
      <c r="BM15" s="4">
        <f>BM14-BK15</f>
        <v>143873.50271758204</v>
      </c>
      <c r="BO15" s="15">
        <v>2238.83</v>
      </c>
      <c r="BQ15" s="4">
        <f>BU14*BQ$9</f>
        <v>962.3147764677735</v>
      </c>
      <c r="BS15" s="4">
        <f t="shared" si="8"/>
        <v>1276.5152235322264</v>
      </c>
      <c r="BU15" s="4">
        <f>BU14-BS15</f>
        <v>138696.5431717803</v>
      </c>
      <c r="BW15" s="19">
        <v>11422.1</v>
      </c>
      <c r="BY15" s="23">
        <f>CC14*BY$9</f>
        <v>3745.595423522949</v>
      </c>
      <c r="CA15" s="23">
        <f>BW15-BY15</f>
        <v>7676.504576477051</v>
      </c>
      <c r="CC15" s="4">
        <f>CC14-CA15</f>
        <v>537137.3752086791</v>
      </c>
    </row>
    <row r="16" spans="1:79" ht="12.75">
      <c r="A16" s="9">
        <v>4</v>
      </c>
      <c r="C16">
        <v>3263.4</v>
      </c>
      <c r="E16" s="4">
        <f>I15*E$9</f>
        <v>1055.07240864126</v>
      </c>
      <c r="G16" s="4">
        <f t="shared" si="0"/>
        <v>2208.3275913587404</v>
      </c>
      <c r="I16" s="4">
        <f>I15-G16</f>
        <v>151256.75002918814</v>
      </c>
      <c r="K16" s="173">
        <v>1304.02</v>
      </c>
      <c r="M16" s="4">
        <f>Q15*M$9</f>
        <v>555.3944966882947</v>
      </c>
      <c r="N16"/>
      <c r="O16" s="4">
        <f t="shared" si="1"/>
        <v>748.6255033117053</v>
      </c>
      <c r="P16"/>
      <c r="Q16" s="4">
        <f>Q15-O16</f>
        <v>80036.02856044025</v>
      </c>
      <c r="S16" s="15">
        <v>6347.96</v>
      </c>
      <c r="U16" s="4">
        <f>Y15*U$9</f>
        <v>2703.660604258879</v>
      </c>
      <c r="W16" s="4">
        <f t="shared" si="2"/>
        <v>3644.299395741121</v>
      </c>
      <c r="Y16" s="4">
        <f>Y15-W16</f>
        <v>389615.42486009584</v>
      </c>
      <c r="AA16" s="15">
        <v>2513.77</v>
      </c>
      <c r="AC16" s="4">
        <f>AG15*AC$9</f>
        <v>1070.640066175813</v>
      </c>
      <c r="AE16" s="4">
        <f t="shared" si="3"/>
        <v>1443.129933824187</v>
      </c>
      <c r="AG16" s="4">
        <f>AG15-AE16</f>
        <v>154286.33423720318</v>
      </c>
      <c r="AI16" s="15">
        <v>2304.78</v>
      </c>
      <c r="AK16" s="4">
        <f>AO15*AK$9</f>
        <v>745.1448107261829</v>
      </c>
      <c r="AM16" s="4">
        <f t="shared" si="4"/>
        <v>1559.6351892738173</v>
      </c>
      <c r="AO16" s="4">
        <f>AO15-AM16</f>
        <v>106825.06455271642</v>
      </c>
      <c r="AQ16" s="15">
        <v>9875.87</v>
      </c>
      <c r="AS16" s="4">
        <f>AW15*AS$9</f>
        <v>3192.912757239662</v>
      </c>
      <c r="AU16" s="4">
        <f t="shared" si="5"/>
        <v>6682.957242760339</v>
      </c>
      <c r="AW16" s="4">
        <f>AW15-AU16</f>
        <v>457740.7165375541</v>
      </c>
      <c r="AY16">
        <v>1468.53</v>
      </c>
      <c r="BA16" s="4">
        <f>BE15*BA$9</f>
        <v>474.782583888567</v>
      </c>
      <c r="BC16" s="4">
        <f t="shared" si="6"/>
        <v>993.747416111433</v>
      </c>
      <c r="BE16" s="4">
        <f>BE15-BC16</f>
        <v>68065.53751313467</v>
      </c>
      <c r="BG16" s="15">
        <v>3059.44</v>
      </c>
      <c r="BI16" s="4">
        <f>BM15*BI$9</f>
        <v>989.1303311833766</v>
      </c>
      <c r="BK16" s="4">
        <f t="shared" si="7"/>
        <v>2070.3096688166233</v>
      </c>
      <c r="BM16" s="4">
        <f>BM15-BK16</f>
        <v>141803.19304876542</v>
      </c>
      <c r="BO16" s="15">
        <v>2238.83</v>
      </c>
      <c r="BQ16" s="4">
        <f>BU15*BQ$9</f>
        <v>953.5387343059896</v>
      </c>
      <c r="BS16" s="4">
        <f t="shared" si="8"/>
        <v>1285.2912656940102</v>
      </c>
      <c r="BU16" s="4">
        <f>BU15-BS16</f>
        <v>137411.25190608628</v>
      </c>
      <c r="BW16">
        <f>SUM(BW13:BW15)</f>
        <v>34266.3</v>
      </c>
      <c r="BY16" s="4">
        <f>SUM(BY13:BY15)</f>
        <v>11393.675208679198</v>
      </c>
      <c r="CA16" s="4">
        <f>SUM(CA13:CA15)</f>
        <v>22872.624791320803</v>
      </c>
    </row>
    <row r="17" spans="1:79" ht="12.75">
      <c r="A17" s="9">
        <v>5</v>
      </c>
      <c r="C17">
        <v>3263.4</v>
      </c>
      <c r="E17" s="4">
        <f>I16*E$9</f>
        <v>1039.8901564506684</v>
      </c>
      <c r="G17" s="4">
        <f t="shared" si="0"/>
        <v>2223.509843549332</v>
      </c>
      <c r="I17" s="4">
        <f>I16-G17</f>
        <v>149033.2401856388</v>
      </c>
      <c r="K17" s="173">
        <v>1304.02</v>
      </c>
      <c r="M17" s="4">
        <f>Q16*M$9</f>
        <v>550.2476963530266</v>
      </c>
      <c r="N17"/>
      <c r="O17" s="4">
        <f t="shared" si="1"/>
        <v>753.7723036469733</v>
      </c>
      <c r="P17"/>
      <c r="Q17" s="4">
        <f>Q16-O17</f>
        <v>79282.25625679328</v>
      </c>
      <c r="S17" s="15">
        <v>6347.96</v>
      </c>
      <c r="U17" s="4">
        <f>Y16*U$9</f>
        <v>2678.606045913159</v>
      </c>
      <c r="W17" s="4">
        <f t="shared" si="2"/>
        <v>3669.353954086841</v>
      </c>
      <c r="Y17" s="4">
        <f>Y16-W17</f>
        <v>385946.070906009</v>
      </c>
      <c r="AA17" s="15">
        <v>2513.77</v>
      </c>
      <c r="AC17" s="4">
        <f>AG16*AC$9</f>
        <v>1060.718547880772</v>
      </c>
      <c r="AE17" s="4">
        <f t="shared" si="3"/>
        <v>1453.051452119228</v>
      </c>
      <c r="AG17" s="4">
        <f>AG16-AE17</f>
        <v>152833.28278508395</v>
      </c>
      <c r="AI17" s="15">
        <v>2304.78</v>
      </c>
      <c r="AK17" s="4">
        <f>AO16*AK$9</f>
        <v>734.4223187999254</v>
      </c>
      <c r="AM17" s="4">
        <f t="shared" si="4"/>
        <v>1570.3576812000747</v>
      </c>
      <c r="AO17" s="4">
        <f>AO16-AM17</f>
        <v>105254.70687151635</v>
      </c>
      <c r="AQ17" s="15">
        <v>9875.87</v>
      </c>
      <c r="AS17" s="4">
        <f>AW16*AS$9</f>
        <v>3146.9674261956843</v>
      </c>
      <c r="AU17" s="4">
        <f t="shared" si="5"/>
        <v>6728.9025738043165</v>
      </c>
      <c r="AW17" s="4">
        <f>AW16-AU17</f>
        <v>451011.8139637498</v>
      </c>
      <c r="AY17">
        <v>1468.53</v>
      </c>
      <c r="BA17" s="4">
        <f>BE16*BA$9</f>
        <v>467.95057040280085</v>
      </c>
      <c r="BC17" s="4">
        <f t="shared" si="6"/>
        <v>1000.5794295971991</v>
      </c>
      <c r="BE17" s="4">
        <f>BE16-BC17</f>
        <v>67064.95808353747</v>
      </c>
      <c r="BG17" s="15">
        <v>3059.44</v>
      </c>
      <c r="BI17" s="4">
        <f>BM16*BI$9</f>
        <v>974.8969522102623</v>
      </c>
      <c r="BK17" s="4">
        <f t="shared" si="7"/>
        <v>2084.543047789738</v>
      </c>
      <c r="BM17" s="4">
        <f>BM16-BK17</f>
        <v>139718.65000097567</v>
      </c>
      <c r="BO17" s="15">
        <v>2238.83</v>
      </c>
      <c r="BQ17" s="4">
        <f>BU16*BQ$9</f>
        <v>944.7023568543432</v>
      </c>
      <c r="BS17" s="4">
        <f t="shared" si="8"/>
        <v>1294.1276431456567</v>
      </c>
      <c r="BU17" s="4">
        <f>BU16-BS17</f>
        <v>136117.12426294063</v>
      </c>
      <c r="BY17" s="90" t="s">
        <v>492</v>
      </c>
      <c r="CA17" s="90" t="s">
        <v>492</v>
      </c>
    </row>
    <row r="18" spans="1:81" ht="12.75">
      <c r="A18" s="9">
        <v>6</v>
      </c>
      <c r="C18" s="19">
        <v>3263.4</v>
      </c>
      <c r="E18" s="23">
        <f>I17*E$9</f>
        <v>1024.6035262762668</v>
      </c>
      <c r="G18" s="23">
        <f t="shared" si="0"/>
        <v>2238.7964737237335</v>
      </c>
      <c r="I18" s="4">
        <f>I17-G18</f>
        <v>146794.44371191508</v>
      </c>
      <c r="K18" s="53">
        <v>1304.02</v>
      </c>
      <c r="M18" s="23">
        <f>Q17*M$9</f>
        <v>545.0655117654538</v>
      </c>
      <c r="N18"/>
      <c r="O18" s="23">
        <f t="shared" si="1"/>
        <v>758.9544882345461</v>
      </c>
      <c r="P18"/>
      <c r="Q18" s="4">
        <f>Q17-O18</f>
        <v>78523.30176855873</v>
      </c>
      <c r="S18" s="16">
        <v>6347.96</v>
      </c>
      <c r="U18" s="23">
        <f>Y17*U$9</f>
        <v>2653.379237478812</v>
      </c>
      <c r="W18" s="23">
        <f t="shared" si="2"/>
        <v>3694.5807625211883</v>
      </c>
      <c r="Y18" s="4">
        <f>Y17-W18</f>
        <v>382251.4901434878</v>
      </c>
      <c r="AA18" s="16">
        <v>2513.77</v>
      </c>
      <c r="AC18" s="23">
        <f>AG17*AC$9</f>
        <v>1050.7288191474522</v>
      </c>
      <c r="AE18" s="23">
        <f t="shared" si="3"/>
        <v>1463.0411808525478</v>
      </c>
      <c r="AG18" s="4">
        <f>AG17-AE18</f>
        <v>151370.2416042314</v>
      </c>
      <c r="AI18" s="16">
        <v>2304.78</v>
      </c>
      <c r="AK18" s="23">
        <f>AO17*AK$9</f>
        <v>723.6261097416749</v>
      </c>
      <c r="AM18" s="23">
        <f t="shared" si="4"/>
        <v>1581.1538902583252</v>
      </c>
      <c r="AO18" s="4">
        <f>AO17-AM18</f>
        <v>103673.55298125802</v>
      </c>
      <c r="AQ18" s="16">
        <v>9875.87</v>
      </c>
      <c r="AS18" s="23">
        <f>AW17*AS$9</f>
        <v>3100.70622100078</v>
      </c>
      <c r="AU18" s="23">
        <f t="shared" si="5"/>
        <v>6775.163778999221</v>
      </c>
      <c r="AW18" s="4">
        <f>AW17-AU18</f>
        <v>444236.65018475056</v>
      </c>
      <c r="AY18" s="19">
        <v>1468.53</v>
      </c>
      <c r="BA18" s="23">
        <f>BE17*BA$9</f>
        <v>461.0715868243201</v>
      </c>
      <c r="BC18" s="23">
        <f t="shared" si="6"/>
        <v>1007.4584131756799</v>
      </c>
      <c r="BE18" s="4">
        <f>BE17-BC18</f>
        <v>66057.49967036178</v>
      </c>
      <c r="BG18" s="16">
        <v>3059.44</v>
      </c>
      <c r="BI18" s="23">
        <f>BM17*BI$9</f>
        <v>960.5657187567077</v>
      </c>
      <c r="BK18" s="23">
        <f t="shared" si="7"/>
        <v>2098.8742812432924</v>
      </c>
      <c r="BM18" s="4">
        <f>BM17-BK18</f>
        <v>137619.77571973237</v>
      </c>
      <c r="BO18" s="16">
        <v>2238.83</v>
      </c>
      <c r="BQ18" s="23">
        <f>BU17*BQ$9</f>
        <v>935.8052293077169</v>
      </c>
      <c r="BS18" s="23">
        <f t="shared" si="8"/>
        <v>1303.024770692283</v>
      </c>
      <c r="BU18" s="4">
        <f>BU17-BS18</f>
        <v>134814.09949224835</v>
      </c>
      <c r="BW18">
        <v>11422.1</v>
      </c>
      <c r="BX18" s="32"/>
      <c r="BY18" s="4">
        <f>CC15*BY$9</f>
        <v>3692.819454559669</v>
      </c>
      <c r="CA18" s="4">
        <f>BW18-BY18</f>
        <v>7729.2805454403315</v>
      </c>
      <c r="CC18" s="4">
        <f>CC15-CA18</f>
        <v>529408.0946632387</v>
      </c>
    </row>
    <row r="19" spans="1:81" ht="12.75">
      <c r="A19" s="61" t="s">
        <v>481</v>
      </c>
      <c r="C19">
        <f>SUM(C13:C18)</f>
        <v>19580.4</v>
      </c>
      <c r="E19" s="4">
        <f>SUM(E13:E18)</f>
        <v>6374.84371191507</v>
      </c>
      <c r="G19" s="4">
        <f>SUM(G13:G18)</f>
        <v>13205.556288084932</v>
      </c>
      <c r="K19">
        <f>SUM(K13:K18)</f>
        <v>7824.120000000001</v>
      </c>
      <c r="M19" s="4">
        <f>SUM(M13:M18)</f>
        <v>3347.4217685587278</v>
      </c>
      <c r="N19"/>
      <c r="O19" s="4">
        <f>SUM(O13:O18)</f>
        <v>4476.698231441272</v>
      </c>
      <c r="P19"/>
      <c r="S19">
        <f>SUM(S13:S18)</f>
        <v>38087.76</v>
      </c>
      <c r="U19" s="4">
        <f>SUM(U13:U18)</f>
        <v>16295.250143487765</v>
      </c>
      <c r="W19" s="4">
        <f>SUM(W13:W18)</f>
        <v>21792.509856512235</v>
      </c>
      <c r="AA19">
        <f>SUM(AA13:AA18)</f>
        <v>15082.62</v>
      </c>
      <c r="AC19" s="4">
        <f>SUM(AC13:AC18)</f>
        <v>6452.861604231381</v>
      </c>
      <c r="AE19" s="4">
        <f>SUM(AE13:AE18)</f>
        <v>8629.758395768618</v>
      </c>
      <c r="AI19">
        <f>SUM(AI13:AI18)</f>
        <v>13828.680000000002</v>
      </c>
      <c r="AK19" s="4">
        <f>SUM(AK13:AK18)</f>
        <v>4502.232981258017</v>
      </c>
      <c r="AM19" s="4">
        <f>SUM(AM13:AM18)</f>
        <v>9326.447018741983</v>
      </c>
      <c r="AQ19">
        <f>SUM(AQ13:AQ18)</f>
        <v>59255.22000000001</v>
      </c>
      <c r="AS19" s="4">
        <f>SUM(AS13:AS18)</f>
        <v>19291.87018475058</v>
      </c>
      <c r="AU19" s="4">
        <f>SUM(AU13:AU18)</f>
        <v>39963.34981524943</v>
      </c>
      <c r="AY19">
        <f>SUM(AY13:AY18)</f>
        <v>8811.18</v>
      </c>
      <c r="BA19" s="4">
        <f>SUM(BA13:BA18)</f>
        <v>2868.6796703617815</v>
      </c>
      <c r="BC19" s="4">
        <f>SUM(BC13:BC18)</f>
        <v>5942.500329638218</v>
      </c>
      <c r="BG19">
        <f>SUM(BG13:BG18)</f>
        <v>18356.64</v>
      </c>
      <c r="BI19" s="4">
        <f>SUM(BI13:BI18)</f>
        <v>5976.4157197323775</v>
      </c>
      <c r="BK19" s="4">
        <f>SUM(BK13:BK18)</f>
        <v>12380.224280267625</v>
      </c>
      <c r="BO19">
        <f>SUM(BO13:BO18)</f>
        <v>13432.98</v>
      </c>
      <c r="BQ19" s="4">
        <f>SUM(BQ13:BQ18)</f>
        <v>5747.079492248324</v>
      </c>
      <c r="BS19" s="4">
        <f>SUM(BS13:BS18)</f>
        <v>7685.900507751677</v>
      </c>
      <c r="BW19">
        <v>11422.1</v>
      </c>
      <c r="BY19" s="4">
        <f>CC18*BY$9</f>
        <v>3639.680650809766</v>
      </c>
      <c r="CA19" s="4">
        <f aca="true" t="shared" si="9" ref="CA19:CA74">BW19-BY19</f>
        <v>7782.419349190234</v>
      </c>
      <c r="CC19" s="4">
        <f aca="true" t="shared" si="10" ref="CC19:CC74">CC18-CA19</f>
        <v>521625.6753140485</v>
      </c>
    </row>
    <row r="20" spans="1:81" ht="12.75">
      <c r="A20" s="9"/>
      <c r="E20" s="90" t="s">
        <v>492</v>
      </c>
      <c r="G20" s="90" t="s">
        <v>492</v>
      </c>
      <c r="M20" s="90" t="s">
        <v>492</v>
      </c>
      <c r="O20" s="90" t="s">
        <v>492</v>
      </c>
      <c r="U20" s="90" t="s">
        <v>492</v>
      </c>
      <c r="W20" s="90" t="s">
        <v>492</v>
      </c>
      <c r="AC20" s="90" t="s">
        <v>492</v>
      </c>
      <c r="AE20" s="90" t="s">
        <v>492</v>
      </c>
      <c r="AK20" s="90" t="s">
        <v>492</v>
      </c>
      <c r="AM20" s="90" t="s">
        <v>492</v>
      </c>
      <c r="AS20" s="90" t="s">
        <v>492</v>
      </c>
      <c r="AU20" s="90" t="s">
        <v>492</v>
      </c>
      <c r="BA20" s="90" t="s">
        <v>492</v>
      </c>
      <c r="BC20" s="90" t="s">
        <v>492</v>
      </c>
      <c r="BI20" s="90" t="s">
        <v>492</v>
      </c>
      <c r="BK20" s="90" t="s">
        <v>492</v>
      </c>
      <c r="BQ20" s="90" t="s">
        <v>492</v>
      </c>
      <c r="BS20" s="90" t="s">
        <v>492</v>
      </c>
      <c r="BW20">
        <v>11422.1</v>
      </c>
      <c r="BY20" s="4">
        <f aca="true" t="shared" si="11" ref="BY20:BY74">CC19*BY$9</f>
        <v>3586.1765177840834</v>
      </c>
      <c r="CA20" s="4">
        <f t="shared" si="9"/>
        <v>7835.923482215917</v>
      </c>
      <c r="CC20" s="4">
        <f t="shared" si="10"/>
        <v>513789.7518318326</v>
      </c>
    </row>
    <row r="21" spans="1:81" ht="12.75">
      <c r="A21" s="9">
        <v>7</v>
      </c>
      <c r="C21">
        <v>3263.4</v>
      </c>
      <c r="E21" s="4">
        <f>I18*E$9</f>
        <v>1009.2118005194162</v>
      </c>
      <c r="G21" s="4">
        <f>C21-E21</f>
        <v>2254.188199480584</v>
      </c>
      <c r="I21" s="4">
        <f>I18-G21</f>
        <v>144540.2555124345</v>
      </c>
      <c r="K21" s="173">
        <v>1304.02</v>
      </c>
      <c r="M21" s="4">
        <f>Q18*M$9</f>
        <v>539.8476996588413</v>
      </c>
      <c r="N21"/>
      <c r="O21" s="4">
        <f>K21-M21</f>
        <v>764.1723003411587</v>
      </c>
      <c r="P21"/>
      <c r="Q21" s="4">
        <f>Q18-O21</f>
        <v>77759.12946821756</v>
      </c>
      <c r="S21" s="15">
        <v>6347.96</v>
      </c>
      <c r="U21" s="4">
        <f>Y18*U$9</f>
        <v>2627.978994736479</v>
      </c>
      <c r="W21" s="4">
        <f>S21-U21</f>
        <v>3719.981005263521</v>
      </c>
      <c r="Y21" s="4">
        <f>Y18-W21</f>
        <v>378531.5091382243</v>
      </c>
      <c r="AA21" s="15">
        <v>2513.77</v>
      </c>
      <c r="AC21" s="4">
        <f>AG18*AC$9</f>
        <v>1040.670411029091</v>
      </c>
      <c r="AE21" s="4">
        <f>AA21-AC21</f>
        <v>1473.099588970909</v>
      </c>
      <c r="AG21" s="4">
        <f>AG18-AE21</f>
        <v>149897.1420152605</v>
      </c>
      <c r="AI21" s="15">
        <v>2304.78</v>
      </c>
      <c r="AK21" s="4">
        <f>AO18*AK$9</f>
        <v>712.7556767461489</v>
      </c>
      <c r="AM21" s="4">
        <f>AI21-AK21</f>
        <v>1592.0243232538514</v>
      </c>
      <c r="AO21" s="4">
        <f>AO18-AM21</f>
        <v>102081.52865800417</v>
      </c>
      <c r="AQ21" s="15">
        <v>9875.87</v>
      </c>
      <c r="AS21" s="4">
        <f>AW18*AS$9</f>
        <v>3054.12697002016</v>
      </c>
      <c r="AU21" s="4">
        <f>AQ21-AS21</f>
        <v>6821.743029979841</v>
      </c>
      <c r="AW21" s="4">
        <f>AW18-AU21</f>
        <v>437414.90715477074</v>
      </c>
      <c r="AY21">
        <v>1468.53</v>
      </c>
      <c r="BA21" s="4">
        <f>BE18*BA$9</f>
        <v>454.14531023373723</v>
      </c>
      <c r="BC21" s="4">
        <f>AY21-BA21</f>
        <v>1014.3846897662627</v>
      </c>
      <c r="BE21" s="4">
        <f>BE18-BC21</f>
        <v>65043.114980595514</v>
      </c>
      <c r="BG21" s="15">
        <v>3059.44</v>
      </c>
      <c r="BI21" s="4">
        <f>BM18*BI$9</f>
        <v>946.13595807316</v>
      </c>
      <c r="BK21" s="4">
        <f>BG21-BI21</f>
        <v>2113.30404192684</v>
      </c>
      <c r="BM21" s="4">
        <f>BM18-BK21</f>
        <v>135506.47167780553</v>
      </c>
      <c r="BO21" s="15">
        <v>2238.83</v>
      </c>
      <c r="BQ21" s="4">
        <f>BU18*BQ$9</f>
        <v>926.8469340092074</v>
      </c>
      <c r="BS21" s="4">
        <f>BO21-BQ21</f>
        <v>1311.9830659907925</v>
      </c>
      <c r="BU21" s="4">
        <f>BU18-BS21</f>
        <v>133502.11642625756</v>
      </c>
      <c r="BW21">
        <v>11422.1</v>
      </c>
      <c r="BY21" s="4">
        <f t="shared" si="11"/>
        <v>3532.304543843849</v>
      </c>
      <c r="CA21" s="4">
        <f t="shared" si="9"/>
        <v>7889.795456156151</v>
      </c>
      <c r="CC21" s="4">
        <f t="shared" si="10"/>
        <v>505899.95637567644</v>
      </c>
    </row>
    <row r="22" spans="1:81" ht="12.75">
      <c r="A22" s="9">
        <v>8</v>
      </c>
      <c r="C22">
        <v>3263.4</v>
      </c>
      <c r="E22" s="4">
        <f>I21*E$9</f>
        <v>993.7142566479871</v>
      </c>
      <c r="G22" s="4">
        <f aca="true" t="shared" si="12" ref="G22:G74">C22-E22</f>
        <v>2269.685743352013</v>
      </c>
      <c r="I22" s="4">
        <f aca="true" t="shared" si="13" ref="I22:I74">I21-G22</f>
        <v>142270.56976908247</v>
      </c>
      <c r="K22" s="173">
        <v>1304.02</v>
      </c>
      <c r="M22" s="4">
        <f>Q21*M$9</f>
        <v>534.5940150939957</v>
      </c>
      <c r="N22"/>
      <c r="O22" s="4">
        <f aca="true" t="shared" si="14" ref="O22:O85">K22-M22</f>
        <v>769.4259849060043</v>
      </c>
      <c r="P22"/>
      <c r="Q22" s="4">
        <f aca="true" t="shared" si="15" ref="Q22:Q85">Q21-O22</f>
        <v>76989.70348331156</v>
      </c>
      <c r="S22" s="15">
        <v>6347.96</v>
      </c>
      <c r="U22" s="4">
        <f>Y21*U$9</f>
        <v>2602.404125325292</v>
      </c>
      <c r="W22" s="4">
        <f aca="true" t="shared" si="16" ref="W22:W85">S22-U22</f>
        <v>3745.555874674708</v>
      </c>
      <c r="Y22" s="4">
        <f aca="true" t="shared" si="17" ref="Y22:Y85">Y21-W22</f>
        <v>374785.9532635496</v>
      </c>
      <c r="AA22" s="15">
        <v>2513.77</v>
      </c>
      <c r="AC22" s="4">
        <f>AG21*AC$9</f>
        <v>1030.542851354916</v>
      </c>
      <c r="AE22" s="4">
        <f aca="true" t="shared" si="18" ref="AE22:AE85">AA22-AC22</f>
        <v>1483.227148645084</v>
      </c>
      <c r="AG22" s="4">
        <f aca="true" t="shared" si="19" ref="AG22:AG85">AG21-AE22</f>
        <v>148413.9148666154</v>
      </c>
      <c r="AI22" s="15">
        <v>2304.78</v>
      </c>
      <c r="AK22" s="4">
        <f>AO21*AK$9</f>
        <v>701.8105095237787</v>
      </c>
      <c r="AM22" s="4">
        <f aca="true" t="shared" si="20" ref="AM22:AM74">AI22-AK22</f>
        <v>1602.9694904762214</v>
      </c>
      <c r="AO22" s="4">
        <f aca="true" t="shared" si="21" ref="AO22:AO74">AO21-AM22</f>
        <v>100478.55916752796</v>
      </c>
      <c r="AQ22" s="15">
        <v>9875.87</v>
      </c>
      <c r="AS22" s="4">
        <f>AW21*AS$9</f>
        <v>3007.227486689049</v>
      </c>
      <c r="AU22" s="4">
        <f aca="true" t="shared" si="22" ref="AU22:AU74">AQ22-AS22</f>
        <v>6868.6425133109515</v>
      </c>
      <c r="AW22" s="4">
        <f aca="true" t="shared" si="23" ref="AW22:AW74">AW21-AU22</f>
        <v>430546.2646414598</v>
      </c>
      <c r="AY22">
        <v>1468.53</v>
      </c>
      <c r="BA22" s="4">
        <f>BE21*BA$9</f>
        <v>447.17141549159413</v>
      </c>
      <c r="BC22" s="4">
        <f aca="true" t="shared" si="24" ref="BC22:BC74">AY22-BA22</f>
        <v>1021.3585845084058</v>
      </c>
      <c r="BE22" s="4">
        <f aca="true" t="shared" si="25" ref="BE22:BE74">BE21-BC22</f>
        <v>64021.756396087105</v>
      </c>
      <c r="BG22" s="15">
        <v>3059.44</v>
      </c>
      <c r="BI22" s="4">
        <f>BM21*BI$9</f>
        <v>931.606992784913</v>
      </c>
      <c r="BK22" s="4">
        <f aca="true" t="shared" si="26" ref="BK22:BK74">BG22-BI22</f>
        <v>2127.833007215087</v>
      </c>
      <c r="BM22" s="4">
        <f>BM21-BK22</f>
        <v>133378.63867059044</v>
      </c>
      <c r="BO22" s="15">
        <v>2238.83</v>
      </c>
      <c r="BQ22" s="4">
        <f>BU21*BQ$9</f>
        <v>917.8270504305208</v>
      </c>
      <c r="BS22" s="4">
        <f aca="true" t="shared" si="27" ref="BS22:BS85">BO22-BQ22</f>
        <v>1321.0029495694791</v>
      </c>
      <c r="BU22" s="4">
        <f aca="true" t="shared" si="28" ref="BU22:BU85">BU21-BS22</f>
        <v>132181.11347668807</v>
      </c>
      <c r="BW22">
        <v>11422.1</v>
      </c>
      <c r="BY22" s="4">
        <f t="shared" si="11"/>
        <v>3478.0622000827757</v>
      </c>
      <c r="CA22" s="4">
        <f t="shared" si="9"/>
        <v>7944.037799917225</v>
      </c>
      <c r="CC22" s="4">
        <f t="shared" si="10"/>
        <v>497955.9185757592</v>
      </c>
    </row>
    <row r="23" spans="1:81" ht="12.75">
      <c r="A23" s="9">
        <v>9</v>
      </c>
      <c r="C23">
        <v>3263.4</v>
      </c>
      <c r="E23" s="4">
        <f aca="true" t="shared" si="29" ref="E23:E74">I22*E$9</f>
        <v>978.110167162442</v>
      </c>
      <c r="G23" s="4">
        <f t="shared" si="12"/>
        <v>2285.289832837558</v>
      </c>
      <c r="I23" s="4">
        <f t="shared" si="13"/>
        <v>139985.27993624492</v>
      </c>
      <c r="K23" s="173">
        <v>1304.02</v>
      </c>
      <c r="M23" s="4">
        <f aca="true" t="shared" si="30" ref="M23:M86">Q22*M$9</f>
        <v>529.304211447767</v>
      </c>
      <c r="N23"/>
      <c r="O23" s="4">
        <f t="shared" si="14"/>
        <v>774.715788552233</v>
      </c>
      <c r="P23"/>
      <c r="Q23" s="4">
        <f t="shared" si="15"/>
        <v>76214.98769475933</v>
      </c>
      <c r="S23" s="15">
        <v>6347.96</v>
      </c>
      <c r="U23" s="4">
        <f aca="true" t="shared" si="31" ref="U23:U86">Y22*U$9</f>
        <v>2576.6534286869037</v>
      </c>
      <c r="W23" s="4">
        <f t="shared" si="16"/>
        <v>3771.3065713130964</v>
      </c>
      <c r="Y23" s="4">
        <f t="shared" si="17"/>
        <v>371014.6466922365</v>
      </c>
      <c r="AA23" s="15">
        <v>2513.77</v>
      </c>
      <c r="AC23" s="4">
        <f aca="true" t="shared" si="32" ref="AC23:AC86">AG22*AC$9</f>
        <v>1020.345664707981</v>
      </c>
      <c r="AE23" s="4">
        <f t="shared" si="18"/>
        <v>1493.424335292019</v>
      </c>
      <c r="AG23" s="4">
        <f t="shared" si="19"/>
        <v>146920.4905313234</v>
      </c>
      <c r="AI23" s="15">
        <v>2304.78</v>
      </c>
      <c r="AK23" s="4">
        <f aca="true" t="shared" si="33" ref="AK23:AK74">AO22*AK$9</f>
        <v>690.7900942767548</v>
      </c>
      <c r="AM23" s="4">
        <f t="shared" si="20"/>
        <v>1613.9899057232456</v>
      </c>
      <c r="AO23" s="4">
        <f t="shared" si="21"/>
        <v>98864.56926180472</v>
      </c>
      <c r="AQ23" s="15">
        <v>9875.87</v>
      </c>
      <c r="AS23" s="4">
        <f aca="true" t="shared" si="34" ref="AS23:AS74">AW22*AS$9</f>
        <v>2960.005569410036</v>
      </c>
      <c r="AU23" s="4">
        <f t="shared" si="22"/>
        <v>6915.864430589965</v>
      </c>
      <c r="AW23" s="4">
        <f t="shared" si="23"/>
        <v>423630.40021086985</v>
      </c>
      <c r="AY23">
        <v>1468.53</v>
      </c>
      <c r="BA23" s="4">
        <f aca="true" t="shared" si="35" ref="BA23:BA74">BE22*BA$9</f>
        <v>440.14957522309885</v>
      </c>
      <c r="BC23" s="4">
        <f t="shared" si="24"/>
        <v>1028.3804247769012</v>
      </c>
      <c r="BE23" s="4">
        <f t="shared" si="25"/>
        <v>62993.375971310204</v>
      </c>
      <c r="BG23" s="15">
        <v>3059.44</v>
      </c>
      <c r="BI23" s="4">
        <f aca="true" t="shared" si="36" ref="BI23:BI74">BM22*BI$9</f>
        <v>916.9781408603093</v>
      </c>
      <c r="BK23" s="4">
        <f t="shared" si="26"/>
        <v>2142.4618591396907</v>
      </c>
      <c r="BM23" s="4">
        <f>BM22-BK23</f>
        <v>131236.17681145074</v>
      </c>
      <c r="BO23" s="15">
        <v>2238.83</v>
      </c>
      <c r="BQ23" s="4">
        <f aca="true" t="shared" si="37" ref="BQ23:BQ86">BU22*BQ$9</f>
        <v>908.7451551522305</v>
      </c>
      <c r="BS23" s="4">
        <f t="shared" si="27"/>
        <v>1330.0848448477695</v>
      </c>
      <c r="BU23" s="4">
        <f t="shared" si="28"/>
        <v>130851.02863184031</v>
      </c>
      <c r="BW23">
        <v>11422.1</v>
      </c>
      <c r="BY23" s="4">
        <f t="shared" si="11"/>
        <v>3423.4469402083446</v>
      </c>
      <c r="CA23" s="4">
        <f t="shared" si="9"/>
        <v>7998.653059791655</v>
      </c>
      <c r="CC23" s="4">
        <f t="shared" si="10"/>
        <v>489957.26551596756</v>
      </c>
    </row>
    <row r="24" spans="1:81" ht="12.75">
      <c r="A24" s="9">
        <v>10</v>
      </c>
      <c r="C24">
        <v>3263.4</v>
      </c>
      <c r="E24" s="4">
        <f t="shared" si="29"/>
        <v>962.3987995616837</v>
      </c>
      <c r="G24" s="4">
        <f t="shared" si="12"/>
        <v>2301.001200438316</v>
      </c>
      <c r="I24" s="4">
        <f t="shared" si="13"/>
        <v>137684.2787358066</v>
      </c>
      <c r="K24" s="173">
        <v>1304.02</v>
      </c>
      <c r="M24" s="4">
        <f t="shared" si="30"/>
        <v>523.9780404014704</v>
      </c>
      <c r="N24"/>
      <c r="O24" s="4">
        <f t="shared" si="14"/>
        <v>780.0419595985296</v>
      </c>
      <c r="P24"/>
      <c r="Q24" s="4">
        <f t="shared" si="15"/>
        <v>75434.9457351608</v>
      </c>
      <c r="S24" s="15">
        <v>6347.96</v>
      </c>
      <c r="U24" s="4">
        <f t="shared" si="31"/>
        <v>2550.725696009126</v>
      </c>
      <c r="W24" s="4">
        <f t="shared" si="16"/>
        <v>3797.234303990874</v>
      </c>
      <c r="Y24" s="4">
        <f t="shared" si="17"/>
        <v>367217.4123882456</v>
      </c>
      <c r="AA24" s="15">
        <v>2513.77</v>
      </c>
      <c r="AC24" s="4">
        <f t="shared" si="32"/>
        <v>1010.0783724028483</v>
      </c>
      <c r="AE24" s="4">
        <f t="shared" si="18"/>
        <v>1503.6916275971516</v>
      </c>
      <c r="AG24" s="4">
        <f t="shared" si="19"/>
        <v>145416.79890372625</v>
      </c>
      <c r="AI24" s="15">
        <v>2304.78</v>
      </c>
      <c r="AK24" s="4">
        <f t="shared" si="33"/>
        <v>679.6939136749074</v>
      </c>
      <c r="AM24" s="4">
        <f t="shared" si="20"/>
        <v>1625.0860863250928</v>
      </c>
      <c r="AO24" s="4">
        <f t="shared" si="21"/>
        <v>97239.48317547963</v>
      </c>
      <c r="AQ24" s="15">
        <v>9875.87</v>
      </c>
      <c r="AS24" s="4">
        <f t="shared" si="34"/>
        <v>2912.4590014497303</v>
      </c>
      <c r="AU24" s="4">
        <f t="shared" si="22"/>
        <v>6963.410998550271</v>
      </c>
      <c r="AW24" s="4">
        <f t="shared" si="23"/>
        <v>416666.9892123196</v>
      </c>
      <c r="AY24">
        <v>1468.53</v>
      </c>
      <c r="BA24" s="4">
        <f t="shared" si="35"/>
        <v>433.07945980275764</v>
      </c>
      <c r="BC24" s="4">
        <f t="shared" si="24"/>
        <v>1035.4505401972424</v>
      </c>
      <c r="BE24" s="4">
        <f t="shared" si="25"/>
        <v>61957.92543111296</v>
      </c>
      <c r="BG24" s="15">
        <v>3059.44</v>
      </c>
      <c r="BI24" s="4">
        <f t="shared" si="36"/>
        <v>902.2487155787238</v>
      </c>
      <c r="BK24" s="4">
        <f t="shared" si="26"/>
        <v>2157.191284421276</v>
      </c>
      <c r="BM24" s="4">
        <f aca="true" t="shared" si="38" ref="BM24:BM74">BM23-BK24</f>
        <v>129078.98552702946</v>
      </c>
      <c r="BO24" s="15">
        <v>2238.83</v>
      </c>
      <c r="BQ24" s="4">
        <f t="shared" si="37"/>
        <v>899.6008218439022</v>
      </c>
      <c r="BS24" s="4">
        <f t="shared" si="27"/>
        <v>1339.2291781560978</v>
      </c>
      <c r="BU24" s="4">
        <f t="shared" si="28"/>
        <v>129511.79945368422</v>
      </c>
      <c r="BW24">
        <v>11422.1</v>
      </c>
      <c r="BY24" s="4">
        <f t="shared" si="11"/>
        <v>3368.456200422277</v>
      </c>
      <c r="CA24" s="4">
        <f t="shared" si="9"/>
        <v>8053.643799577723</v>
      </c>
      <c r="CC24" s="4">
        <f t="shared" si="10"/>
        <v>481903.62171638984</v>
      </c>
    </row>
    <row r="25" spans="1:81" ht="12.75">
      <c r="A25" s="9">
        <v>11</v>
      </c>
      <c r="C25">
        <v>3263.4</v>
      </c>
      <c r="E25" s="4">
        <f t="shared" si="29"/>
        <v>946.5794163086705</v>
      </c>
      <c r="G25" s="4">
        <f t="shared" si="12"/>
        <v>2316.8205836913294</v>
      </c>
      <c r="I25" s="4">
        <f t="shared" si="13"/>
        <v>135367.4581521153</v>
      </c>
      <c r="K25" s="173">
        <v>1304.02</v>
      </c>
      <c r="M25" s="4">
        <f t="shared" si="30"/>
        <v>518.6152519292305</v>
      </c>
      <c r="N25"/>
      <c r="O25" s="4">
        <f t="shared" si="14"/>
        <v>785.4047480707695</v>
      </c>
      <c r="P25"/>
      <c r="Q25" s="4">
        <f t="shared" si="15"/>
        <v>74649.54098709003</v>
      </c>
      <c r="S25" s="15">
        <v>6347.96</v>
      </c>
      <c r="U25" s="4">
        <f t="shared" si="31"/>
        <v>2524.6197101691882</v>
      </c>
      <c r="W25" s="4">
        <f t="shared" si="16"/>
        <v>3823.340289830812</v>
      </c>
      <c r="Y25" s="4">
        <f t="shared" si="17"/>
        <v>363394.07209841476</v>
      </c>
      <c r="AA25" s="15">
        <v>2513.77</v>
      </c>
      <c r="AC25" s="4">
        <f t="shared" si="32"/>
        <v>999.7404924631179</v>
      </c>
      <c r="AE25" s="4">
        <f t="shared" si="18"/>
        <v>1514.0295075368822</v>
      </c>
      <c r="AG25" s="4">
        <f t="shared" si="19"/>
        <v>143902.76939618937</v>
      </c>
      <c r="AI25" s="15">
        <v>2304.78</v>
      </c>
      <c r="AK25" s="4">
        <f t="shared" si="33"/>
        <v>668.5214468314225</v>
      </c>
      <c r="AM25" s="4">
        <f t="shared" si="20"/>
        <v>1636.2585531685777</v>
      </c>
      <c r="AO25" s="4">
        <f t="shared" si="21"/>
        <v>95603.22462231106</v>
      </c>
      <c r="AQ25" s="15">
        <v>9875.87</v>
      </c>
      <c r="AS25" s="4">
        <f t="shared" si="34"/>
        <v>2864.585550834697</v>
      </c>
      <c r="AU25" s="4">
        <f t="shared" si="22"/>
        <v>7011.284449165303</v>
      </c>
      <c r="AW25" s="4">
        <f t="shared" si="23"/>
        <v>409655.7047631543</v>
      </c>
      <c r="AY25">
        <v>1468.53</v>
      </c>
      <c r="BA25" s="4">
        <f t="shared" si="35"/>
        <v>425.9607373389016</v>
      </c>
      <c r="BC25" s="4">
        <f t="shared" si="24"/>
        <v>1042.5692626610985</v>
      </c>
      <c r="BE25" s="4">
        <f t="shared" si="25"/>
        <v>60915.356168451865</v>
      </c>
      <c r="BG25" s="15">
        <v>3059.44</v>
      </c>
      <c r="BI25" s="4">
        <f t="shared" si="36"/>
        <v>887.4180254983276</v>
      </c>
      <c r="BK25" s="4">
        <f t="shared" si="26"/>
        <v>2172.0219745016725</v>
      </c>
      <c r="BM25" s="4">
        <f t="shared" si="38"/>
        <v>126906.9635525278</v>
      </c>
      <c r="BO25" s="15">
        <v>2238.83</v>
      </c>
      <c r="BQ25" s="4">
        <f t="shared" si="37"/>
        <v>890.393621244079</v>
      </c>
      <c r="BS25" s="4">
        <f t="shared" si="27"/>
        <v>1348.436378755921</v>
      </c>
      <c r="BU25" s="4">
        <f t="shared" si="28"/>
        <v>128163.36307492829</v>
      </c>
      <c r="BW25">
        <v>11422.1</v>
      </c>
      <c r="BY25" s="4">
        <f t="shared" si="11"/>
        <v>3313.08739930018</v>
      </c>
      <c r="CA25" s="4">
        <f t="shared" si="9"/>
        <v>8109.01260069982</v>
      </c>
      <c r="CC25" s="4">
        <f t="shared" si="10"/>
        <v>473794.60911569</v>
      </c>
    </row>
    <row r="26" spans="1:81" ht="12.75">
      <c r="A26" s="9">
        <v>12</v>
      </c>
      <c r="C26">
        <v>3263.4</v>
      </c>
      <c r="E26" s="4">
        <f t="shared" si="29"/>
        <v>930.6512747957926</v>
      </c>
      <c r="G26" s="4">
        <f t="shared" si="12"/>
        <v>2332.7487252042074</v>
      </c>
      <c r="I26" s="4">
        <f t="shared" si="13"/>
        <v>133034.70942691108</v>
      </c>
      <c r="K26" s="173">
        <v>1304.02</v>
      </c>
      <c r="M26" s="4">
        <f t="shared" si="30"/>
        <v>513.215594286244</v>
      </c>
      <c r="N26"/>
      <c r="O26" s="4">
        <f t="shared" si="14"/>
        <v>790.804405713756</v>
      </c>
      <c r="P26"/>
      <c r="Q26" s="4">
        <f t="shared" si="15"/>
        <v>73858.73658137627</v>
      </c>
      <c r="S26" s="15">
        <v>6347.96</v>
      </c>
      <c r="U26" s="4">
        <f t="shared" si="31"/>
        <v>2498.3342456766013</v>
      </c>
      <c r="W26" s="4">
        <f t="shared" si="16"/>
        <v>3849.6257543233987</v>
      </c>
      <c r="Y26" s="4">
        <f t="shared" si="17"/>
        <v>359544.4463440914</v>
      </c>
      <c r="AA26" s="15">
        <v>2513.77</v>
      </c>
      <c r="AC26" s="4">
        <f t="shared" si="32"/>
        <v>989.3315395988019</v>
      </c>
      <c r="AE26" s="4">
        <f t="shared" si="18"/>
        <v>1524.438460401198</v>
      </c>
      <c r="AG26" s="4">
        <f t="shared" si="19"/>
        <v>142378.33093578817</v>
      </c>
      <c r="AI26" s="15">
        <v>2304.78</v>
      </c>
      <c r="AK26" s="4">
        <f t="shared" si="33"/>
        <v>657.2721692783886</v>
      </c>
      <c r="AM26" s="4">
        <f t="shared" si="20"/>
        <v>1647.5078307216118</v>
      </c>
      <c r="AO26" s="4">
        <f t="shared" si="21"/>
        <v>93955.71679158944</v>
      </c>
      <c r="AQ26" s="15">
        <v>9875.87</v>
      </c>
      <c r="AS26" s="4">
        <f t="shared" si="34"/>
        <v>2816.382970246686</v>
      </c>
      <c r="AU26" s="4">
        <f t="shared" si="22"/>
        <v>7059.487029753314</v>
      </c>
      <c r="AW26" s="4">
        <f t="shared" si="23"/>
        <v>402596.217733401</v>
      </c>
      <c r="AY26">
        <v>1468.53</v>
      </c>
      <c r="BA26" s="4">
        <f t="shared" si="35"/>
        <v>418.79307365810655</v>
      </c>
      <c r="BC26" s="4">
        <f t="shared" si="24"/>
        <v>1049.7369263418934</v>
      </c>
      <c r="BE26" s="4">
        <f t="shared" si="25"/>
        <v>59865.61924210997</v>
      </c>
      <c r="BG26" s="15">
        <v>3059.44</v>
      </c>
      <c r="BI26" s="4">
        <f t="shared" si="36"/>
        <v>872.4853744236286</v>
      </c>
      <c r="BK26" s="4">
        <f t="shared" si="26"/>
        <v>2186.9546255763717</v>
      </c>
      <c r="BM26" s="4">
        <f t="shared" si="38"/>
        <v>124720.00892695143</v>
      </c>
      <c r="BO26" s="15">
        <v>2238.83</v>
      </c>
      <c r="BQ26" s="4">
        <f t="shared" si="37"/>
        <v>881.123121140132</v>
      </c>
      <c r="BS26" s="4">
        <f t="shared" si="27"/>
        <v>1357.706878859868</v>
      </c>
      <c r="BU26" s="4">
        <f t="shared" si="28"/>
        <v>126805.65619606842</v>
      </c>
      <c r="BW26">
        <v>11422.1</v>
      </c>
      <c r="BY26" s="4">
        <f t="shared" si="11"/>
        <v>3257.337937670369</v>
      </c>
      <c r="CA26" s="4">
        <f t="shared" si="9"/>
        <v>8164.762062329632</v>
      </c>
      <c r="CC26" s="4">
        <f t="shared" si="10"/>
        <v>465629.84705336037</v>
      </c>
    </row>
    <row r="27" spans="1:81" ht="12.75">
      <c r="A27" s="9">
        <v>13</v>
      </c>
      <c r="C27">
        <v>3263.4</v>
      </c>
      <c r="E27" s="4">
        <f t="shared" si="29"/>
        <v>914.6136273100137</v>
      </c>
      <c r="G27" s="4">
        <f t="shared" si="12"/>
        <v>2348.7863726899864</v>
      </c>
      <c r="I27" s="4">
        <f t="shared" si="13"/>
        <v>130685.9230542211</v>
      </c>
      <c r="K27" s="173">
        <v>1304.02</v>
      </c>
      <c r="M27" s="4">
        <f t="shared" si="30"/>
        <v>507.7788139969619</v>
      </c>
      <c r="N27"/>
      <c r="O27" s="4">
        <f t="shared" si="14"/>
        <v>796.2411860030381</v>
      </c>
      <c r="P27"/>
      <c r="Q27" s="4">
        <f t="shared" si="15"/>
        <v>73062.49539537323</v>
      </c>
      <c r="S27" s="15">
        <v>6347.96</v>
      </c>
      <c r="U27" s="4">
        <f t="shared" si="31"/>
        <v>2471.868068615628</v>
      </c>
      <c r="W27" s="4">
        <f t="shared" si="16"/>
        <v>3876.091931384372</v>
      </c>
      <c r="Y27" s="4">
        <f t="shared" si="17"/>
        <v>355668.35441270703</v>
      </c>
      <c r="AA27" s="15">
        <v>2513.77</v>
      </c>
      <c r="AC27" s="4">
        <f t="shared" si="32"/>
        <v>978.8510251835437</v>
      </c>
      <c r="AE27" s="4">
        <f t="shared" si="18"/>
        <v>1534.9189748164563</v>
      </c>
      <c r="AG27" s="4">
        <f t="shared" si="19"/>
        <v>140843.41196097172</v>
      </c>
      <c r="AI27" s="15">
        <v>2304.78</v>
      </c>
      <c r="AK27" s="4">
        <f t="shared" si="33"/>
        <v>645.9455529421774</v>
      </c>
      <c r="AM27" s="4">
        <f t="shared" si="20"/>
        <v>1658.8344470578227</v>
      </c>
      <c r="AO27" s="4">
        <f t="shared" si="21"/>
        <v>92296.88234453162</v>
      </c>
      <c r="AQ27" s="15">
        <v>9875.87</v>
      </c>
      <c r="AS27" s="4">
        <f t="shared" si="34"/>
        <v>2767.848996917132</v>
      </c>
      <c r="AU27" s="4">
        <f t="shared" si="22"/>
        <v>7108.021003082869</v>
      </c>
      <c r="AW27" s="4">
        <f t="shared" si="23"/>
        <v>395488.19673031813</v>
      </c>
      <c r="AY27">
        <v>1468.53</v>
      </c>
      <c r="BA27" s="4">
        <f t="shared" si="35"/>
        <v>411.57613228950606</v>
      </c>
      <c r="BC27" s="4">
        <f t="shared" si="24"/>
        <v>1056.9538677104938</v>
      </c>
      <c r="BE27" s="4">
        <f t="shared" si="25"/>
        <v>58808.665374399476</v>
      </c>
      <c r="BG27" s="15">
        <v>3059.44</v>
      </c>
      <c r="BI27" s="4">
        <f t="shared" si="36"/>
        <v>857.4500613727911</v>
      </c>
      <c r="BK27" s="4">
        <f t="shared" si="26"/>
        <v>2201.989938627209</v>
      </c>
      <c r="BM27" s="4">
        <f t="shared" si="38"/>
        <v>122518.01898832421</v>
      </c>
      <c r="BO27" s="15">
        <v>2238.83</v>
      </c>
      <c r="BQ27" s="4">
        <f t="shared" si="37"/>
        <v>871.7888863479703</v>
      </c>
      <c r="BS27" s="4">
        <f t="shared" si="27"/>
        <v>1367.0411136520297</v>
      </c>
      <c r="BU27" s="4">
        <f t="shared" si="28"/>
        <v>125438.61508241639</v>
      </c>
      <c r="BW27">
        <v>11422.1</v>
      </c>
      <c r="BY27" s="4">
        <f t="shared" si="11"/>
        <v>3201.2051984918526</v>
      </c>
      <c r="CA27" s="4">
        <f t="shared" si="9"/>
        <v>8220.894801508148</v>
      </c>
      <c r="CC27" s="4">
        <f t="shared" si="10"/>
        <v>457408.9522518522</v>
      </c>
    </row>
    <row r="28" spans="1:81" ht="12.75">
      <c r="A28" s="9">
        <v>14</v>
      </c>
      <c r="C28">
        <v>3263.4</v>
      </c>
      <c r="E28" s="4">
        <f t="shared" si="29"/>
        <v>898.4657209977701</v>
      </c>
      <c r="G28" s="4">
        <f t="shared" si="12"/>
        <v>2364.93427900223</v>
      </c>
      <c r="I28" s="4">
        <f t="shared" si="13"/>
        <v>128320.98877521887</v>
      </c>
      <c r="K28" s="173">
        <v>1304.02</v>
      </c>
      <c r="M28" s="4">
        <f t="shared" si="30"/>
        <v>502.304655843191</v>
      </c>
      <c r="N28"/>
      <c r="O28" s="4">
        <f t="shared" si="14"/>
        <v>801.715344156809</v>
      </c>
      <c r="P28"/>
      <c r="Q28" s="4">
        <f t="shared" si="15"/>
        <v>72260.78005121642</v>
      </c>
      <c r="S28" s="15">
        <v>6347.96</v>
      </c>
      <c r="U28" s="4">
        <f t="shared" si="31"/>
        <v>2445.2199365873607</v>
      </c>
      <c r="W28" s="4">
        <f t="shared" si="16"/>
        <v>3902.7400634126393</v>
      </c>
      <c r="Y28" s="4">
        <f t="shared" si="17"/>
        <v>351765.6143492944</v>
      </c>
      <c r="AA28" s="15">
        <v>2513.77</v>
      </c>
      <c r="AC28" s="4">
        <f t="shared" si="32"/>
        <v>968.2984572316806</v>
      </c>
      <c r="AE28" s="4">
        <f t="shared" si="18"/>
        <v>1545.4715427683195</v>
      </c>
      <c r="AG28" s="4">
        <f t="shared" si="19"/>
        <v>139297.9404182034</v>
      </c>
      <c r="AI28" s="15">
        <v>2304.78</v>
      </c>
      <c r="AK28" s="4">
        <f t="shared" si="33"/>
        <v>634.541066118655</v>
      </c>
      <c r="AM28" s="4">
        <f t="shared" si="20"/>
        <v>1670.2389338813452</v>
      </c>
      <c r="AO28" s="4">
        <f t="shared" si="21"/>
        <v>90626.64341065027</v>
      </c>
      <c r="AQ28" s="15">
        <v>9875.87</v>
      </c>
      <c r="AS28" s="4">
        <f t="shared" si="34"/>
        <v>2718.981352520937</v>
      </c>
      <c r="AU28" s="4">
        <f t="shared" si="22"/>
        <v>7156.888647479063</v>
      </c>
      <c r="AW28" s="4">
        <f t="shared" si="23"/>
        <v>388331.30808283907</v>
      </c>
      <c r="AY28">
        <v>1468.53</v>
      </c>
      <c r="BA28" s="4">
        <f t="shared" si="35"/>
        <v>404.3095744489964</v>
      </c>
      <c r="BC28" s="4">
        <f t="shared" si="24"/>
        <v>1064.2204255510037</v>
      </c>
      <c r="BE28" s="4">
        <f t="shared" si="25"/>
        <v>57744.444948848475</v>
      </c>
      <c r="BG28" s="15">
        <v>3059.44</v>
      </c>
      <c r="BI28" s="4">
        <f t="shared" si="36"/>
        <v>842.311380544729</v>
      </c>
      <c r="BK28" s="4">
        <f t="shared" si="26"/>
        <v>2217.1286194552713</v>
      </c>
      <c r="BM28" s="4">
        <f t="shared" si="38"/>
        <v>120300.89036886895</v>
      </c>
      <c r="BO28" s="15">
        <v>2238.83</v>
      </c>
      <c r="BQ28" s="4">
        <f t="shared" si="37"/>
        <v>862.3904786916127</v>
      </c>
      <c r="BS28" s="4">
        <f t="shared" si="27"/>
        <v>1376.4395213083872</v>
      </c>
      <c r="BU28" s="4">
        <f t="shared" si="28"/>
        <v>124062.175561108</v>
      </c>
      <c r="BW28">
        <v>11422.1</v>
      </c>
      <c r="BY28" s="4">
        <f t="shared" si="11"/>
        <v>3144.6865467314838</v>
      </c>
      <c r="CA28" s="4">
        <f t="shared" si="9"/>
        <v>8277.413453268517</v>
      </c>
      <c r="CC28" s="4">
        <f t="shared" si="10"/>
        <v>449131.5387985837</v>
      </c>
    </row>
    <row r="29" spans="1:81" ht="12.75">
      <c r="A29" s="9">
        <v>15</v>
      </c>
      <c r="C29">
        <v>3263.4</v>
      </c>
      <c r="E29" s="4">
        <f t="shared" si="29"/>
        <v>882.2067978296297</v>
      </c>
      <c r="G29" s="4">
        <f t="shared" si="12"/>
        <v>2381.1932021703706</v>
      </c>
      <c r="I29" s="4">
        <f t="shared" si="13"/>
        <v>125939.7955730485</v>
      </c>
      <c r="K29" s="173">
        <v>1304.02</v>
      </c>
      <c r="M29" s="4">
        <f t="shared" si="30"/>
        <v>496.79286285211293</v>
      </c>
      <c r="N29"/>
      <c r="O29" s="4">
        <f t="shared" si="14"/>
        <v>807.2271371478871</v>
      </c>
      <c r="P29"/>
      <c r="Q29" s="4">
        <f t="shared" si="15"/>
        <v>71453.55291406854</v>
      </c>
      <c r="S29" s="15">
        <v>6347.96</v>
      </c>
      <c r="U29" s="4">
        <f t="shared" si="31"/>
        <v>2418.388598651399</v>
      </c>
      <c r="W29" s="4">
        <f t="shared" si="16"/>
        <v>3929.571401348601</v>
      </c>
      <c r="Y29" s="4">
        <f t="shared" si="17"/>
        <v>347836.04294794577</v>
      </c>
      <c r="AA29" s="15">
        <v>2513.77</v>
      </c>
      <c r="AC29" s="4">
        <f t="shared" si="32"/>
        <v>957.6733403751483</v>
      </c>
      <c r="AE29" s="4">
        <f t="shared" si="18"/>
        <v>1556.0966596248518</v>
      </c>
      <c r="AG29" s="4">
        <f t="shared" si="19"/>
        <v>137741.84375857853</v>
      </c>
      <c r="AI29" s="15">
        <v>2304.78</v>
      </c>
      <c r="AK29" s="4">
        <f t="shared" si="33"/>
        <v>623.0581734482206</v>
      </c>
      <c r="AM29" s="4">
        <f t="shared" si="20"/>
        <v>1681.7218265517795</v>
      </c>
      <c r="AO29" s="4">
        <f t="shared" si="21"/>
        <v>88944.9215840985</v>
      </c>
      <c r="AQ29" s="15">
        <v>9875.87</v>
      </c>
      <c r="AS29" s="4">
        <f t="shared" si="34"/>
        <v>2669.7777430695187</v>
      </c>
      <c r="AU29" s="4">
        <f t="shared" si="22"/>
        <v>7206.092256930482</v>
      </c>
      <c r="AW29" s="4">
        <f t="shared" si="23"/>
        <v>381125.2158259086</v>
      </c>
      <c r="AY29">
        <v>1468.53</v>
      </c>
      <c r="BA29" s="4">
        <f t="shared" si="35"/>
        <v>396.9930590233333</v>
      </c>
      <c r="BC29" s="4">
        <f t="shared" si="24"/>
        <v>1071.5369409766668</v>
      </c>
      <c r="BE29" s="4">
        <f t="shared" si="25"/>
        <v>56672.90800787181</v>
      </c>
      <c r="BG29" s="15">
        <v>3059.44</v>
      </c>
      <c r="BI29" s="4">
        <f t="shared" si="36"/>
        <v>827.068621285974</v>
      </c>
      <c r="BK29" s="4">
        <f t="shared" si="26"/>
        <v>2232.371378714026</v>
      </c>
      <c r="BM29" s="4">
        <f t="shared" si="38"/>
        <v>118068.51899015492</v>
      </c>
      <c r="BO29" s="15">
        <v>2238.83</v>
      </c>
      <c r="BQ29" s="4">
        <f t="shared" si="37"/>
        <v>852.9274569826175</v>
      </c>
      <c r="BS29" s="4">
        <f t="shared" si="27"/>
        <v>1385.9025430173824</v>
      </c>
      <c r="BU29" s="4">
        <f t="shared" si="28"/>
        <v>122676.27301809062</v>
      </c>
      <c r="BW29">
        <v>11422.1</v>
      </c>
      <c r="BY29" s="4">
        <f t="shared" si="11"/>
        <v>3087.7793292402625</v>
      </c>
      <c r="CA29" s="4">
        <f t="shared" si="9"/>
        <v>8334.320670759738</v>
      </c>
      <c r="CC29" s="4">
        <f t="shared" si="10"/>
        <v>440797.21812782396</v>
      </c>
    </row>
    <row r="30" spans="1:81" ht="12.75">
      <c r="A30" s="9">
        <v>16</v>
      </c>
      <c r="C30">
        <v>3263.4</v>
      </c>
      <c r="E30" s="4">
        <f t="shared" si="29"/>
        <v>865.8360945647084</v>
      </c>
      <c r="G30" s="4">
        <f t="shared" si="12"/>
        <v>2397.5639054352914</v>
      </c>
      <c r="I30" s="4">
        <f t="shared" si="13"/>
        <v>123542.2316676132</v>
      </c>
      <c r="K30" s="173">
        <v>1304.02</v>
      </c>
      <c r="M30" s="4">
        <f t="shared" si="30"/>
        <v>491.2431762842212</v>
      </c>
      <c r="N30"/>
      <c r="O30" s="4">
        <f t="shared" si="14"/>
        <v>812.7768237157788</v>
      </c>
      <c r="P30"/>
      <c r="Q30" s="4">
        <f t="shared" si="15"/>
        <v>70640.77609035277</v>
      </c>
      <c r="S30" s="15">
        <v>6347.96</v>
      </c>
      <c r="U30" s="4">
        <f t="shared" si="31"/>
        <v>2391.372795267127</v>
      </c>
      <c r="W30" s="4">
        <f t="shared" si="16"/>
        <v>3956.587204732873</v>
      </c>
      <c r="Y30" s="4">
        <f t="shared" si="17"/>
        <v>343879.4557432129</v>
      </c>
      <c r="AA30" s="15">
        <v>2513.77</v>
      </c>
      <c r="AC30" s="4">
        <f t="shared" si="32"/>
        <v>946.9751758402274</v>
      </c>
      <c r="AE30" s="4">
        <f t="shared" si="18"/>
        <v>1566.7948241597726</v>
      </c>
      <c r="AG30" s="4">
        <f t="shared" si="19"/>
        <v>136175.04893441877</v>
      </c>
      <c r="AI30" s="15">
        <v>2304.78</v>
      </c>
      <c r="AK30" s="4">
        <f t="shared" si="33"/>
        <v>611.4963358906772</v>
      </c>
      <c r="AM30" s="4">
        <f t="shared" si="20"/>
        <v>1693.2836641093231</v>
      </c>
      <c r="AO30" s="4">
        <f t="shared" si="21"/>
        <v>87251.63791998918</v>
      </c>
      <c r="AQ30" s="15">
        <v>9875.87</v>
      </c>
      <c r="AS30" s="4">
        <f t="shared" si="34"/>
        <v>2620.2358588031216</v>
      </c>
      <c r="AU30" s="4">
        <f t="shared" si="22"/>
        <v>7255.634141196879</v>
      </c>
      <c r="AW30" s="4">
        <f t="shared" si="23"/>
        <v>373869.5816847117</v>
      </c>
      <c r="AY30">
        <v>1468.53</v>
      </c>
      <c r="BA30" s="4">
        <f t="shared" si="35"/>
        <v>389.6262425541187</v>
      </c>
      <c r="BC30" s="4">
        <f t="shared" si="24"/>
        <v>1078.9037574458812</v>
      </c>
      <c r="BE30" s="4">
        <f t="shared" si="25"/>
        <v>55594.00425042593</v>
      </c>
      <c r="BG30" s="15">
        <v>3059.44</v>
      </c>
      <c r="BI30" s="4">
        <f t="shared" si="36"/>
        <v>811.721068057315</v>
      </c>
      <c r="BK30" s="4">
        <f t="shared" si="26"/>
        <v>2247.7189319426852</v>
      </c>
      <c r="BM30" s="4">
        <f t="shared" si="38"/>
        <v>115820.80005821223</v>
      </c>
      <c r="BO30" s="15">
        <v>2238.83</v>
      </c>
      <c r="BQ30" s="4">
        <f t="shared" si="37"/>
        <v>843.399376999373</v>
      </c>
      <c r="BS30" s="4">
        <f t="shared" si="27"/>
        <v>1395.4306230006268</v>
      </c>
      <c r="BU30" s="4">
        <f t="shared" si="28"/>
        <v>121280.84239508999</v>
      </c>
      <c r="BW30">
        <v>11422.1</v>
      </c>
      <c r="BY30" s="4">
        <f t="shared" si="11"/>
        <v>3030.48087462879</v>
      </c>
      <c r="CA30" s="4">
        <f t="shared" si="9"/>
        <v>8391.61912537121</v>
      </c>
      <c r="CC30" s="4">
        <f t="shared" si="10"/>
        <v>432405.59900245274</v>
      </c>
    </row>
    <row r="31" spans="1:81" ht="12.75">
      <c r="A31" s="9">
        <v>17</v>
      </c>
      <c r="C31">
        <v>3263.4</v>
      </c>
      <c r="E31" s="4">
        <f t="shared" si="29"/>
        <v>849.3528427148408</v>
      </c>
      <c r="G31" s="4">
        <f t="shared" si="12"/>
        <v>2414.0471572851593</v>
      </c>
      <c r="I31" s="4">
        <f t="shared" si="13"/>
        <v>121128.18451032805</v>
      </c>
      <c r="K31" s="173">
        <v>1304.02</v>
      </c>
      <c r="M31" s="4">
        <f t="shared" si="30"/>
        <v>485.65533562117525</v>
      </c>
      <c r="N31"/>
      <c r="O31" s="4">
        <f t="shared" si="14"/>
        <v>818.3646643788247</v>
      </c>
      <c r="P31"/>
      <c r="Q31" s="4">
        <f t="shared" si="15"/>
        <v>69822.41142597394</v>
      </c>
      <c r="S31" s="15">
        <v>6347.96</v>
      </c>
      <c r="U31" s="4">
        <f t="shared" si="31"/>
        <v>2364.1712582345885</v>
      </c>
      <c r="W31" s="4">
        <f t="shared" si="16"/>
        <v>3983.7887417654115</v>
      </c>
      <c r="Y31" s="4">
        <f t="shared" si="17"/>
        <v>339895.66700144747</v>
      </c>
      <c r="AA31" s="15">
        <v>2513.77</v>
      </c>
      <c r="AC31" s="4">
        <f t="shared" si="32"/>
        <v>936.203461424129</v>
      </c>
      <c r="AE31" s="4">
        <f t="shared" si="18"/>
        <v>1577.566538575871</v>
      </c>
      <c r="AG31" s="4">
        <f t="shared" si="19"/>
        <v>134597.4823958429</v>
      </c>
      <c r="AI31" s="15">
        <v>2304.78</v>
      </c>
      <c r="AK31" s="4">
        <f t="shared" si="33"/>
        <v>599.8550106999256</v>
      </c>
      <c r="AM31" s="4">
        <f t="shared" si="20"/>
        <v>1704.9249893000747</v>
      </c>
      <c r="AO31" s="4">
        <f t="shared" si="21"/>
        <v>85546.7129306891</v>
      </c>
      <c r="AQ31" s="15">
        <v>9875.87</v>
      </c>
      <c r="AS31" s="4">
        <f t="shared" si="34"/>
        <v>2570.3533740823927</v>
      </c>
      <c r="AU31" s="4">
        <f t="shared" si="22"/>
        <v>7305.516625917608</v>
      </c>
      <c r="AW31" s="4">
        <f t="shared" si="23"/>
        <v>366564.06505879405</v>
      </c>
      <c r="AY31">
        <v>1468.53</v>
      </c>
      <c r="BA31" s="4">
        <f t="shared" si="35"/>
        <v>382.2087792216783</v>
      </c>
      <c r="BC31" s="4">
        <f t="shared" si="24"/>
        <v>1086.3212207783217</v>
      </c>
      <c r="BE31" s="4">
        <f t="shared" si="25"/>
        <v>54507.68302964761</v>
      </c>
      <c r="BG31" s="15">
        <v>3059.44</v>
      </c>
      <c r="BI31" s="4">
        <f t="shared" si="36"/>
        <v>796.2680004002091</v>
      </c>
      <c r="BK31" s="4">
        <f t="shared" si="26"/>
        <v>2263.171999599791</v>
      </c>
      <c r="BM31" s="4">
        <f t="shared" si="38"/>
        <v>113557.62805861245</v>
      </c>
      <c r="BO31" s="15">
        <v>2238.83</v>
      </c>
      <c r="BQ31" s="4">
        <f t="shared" si="37"/>
        <v>833.8057914662437</v>
      </c>
      <c r="BS31" s="4">
        <f t="shared" si="27"/>
        <v>1405.0242085337563</v>
      </c>
      <c r="BU31" s="4">
        <f t="shared" si="28"/>
        <v>119875.81818655624</v>
      </c>
      <c r="BW31">
        <v>11422.1</v>
      </c>
      <c r="BY31" s="4">
        <f t="shared" si="11"/>
        <v>2972.7884931418625</v>
      </c>
      <c r="CA31" s="4">
        <f t="shared" si="9"/>
        <v>8449.311506858137</v>
      </c>
      <c r="CC31" s="4">
        <f t="shared" si="10"/>
        <v>423956.2874955946</v>
      </c>
    </row>
    <row r="32" spans="1:81" ht="12.75">
      <c r="A32" s="9">
        <v>18</v>
      </c>
      <c r="C32">
        <v>3263.4</v>
      </c>
      <c r="E32" s="4">
        <f t="shared" si="29"/>
        <v>832.7562685085054</v>
      </c>
      <c r="G32" s="4">
        <f t="shared" si="12"/>
        <v>2430.6437314914947</v>
      </c>
      <c r="I32" s="4">
        <f t="shared" si="13"/>
        <v>118697.54077883656</v>
      </c>
      <c r="K32" s="173">
        <v>1304.02</v>
      </c>
      <c r="M32" s="4">
        <f t="shared" si="30"/>
        <v>480.02907855357086</v>
      </c>
      <c r="N32"/>
      <c r="O32" s="4">
        <f t="shared" si="14"/>
        <v>823.9909214464292</v>
      </c>
      <c r="P32"/>
      <c r="Q32" s="4">
        <f t="shared" si="15"/>
        <v>68998.42050452752</v>
      </c>
      <c r="S32" s="15">
        <v>6347.96</v>
      </c>
      <c r="U32" s="4">
        <f t="shared" si="31"/>
        <v>2336.7827106349514</v>
      </c>
      <c r="W32" s="4">
        <f t="shared" si="16"/>
        <v>4011.1772893650486</v>
      </c>
      <c r="Y32" s="4">
        <f t="shared" si="17"/>
        <v>335884.48971208243</v>
      </c>
      <c r="AA32" s="15">
        <v>2513.77</v>
      </c>
      <c r="AC32" s="4">
        <f t="shared" si="32"/>
        <v>925.35769147142</v>
      </c>
      <c r="AE32" s="4">
        <f t="shared" si="18"/>
        <v>1588.41230852858</v>
      </c>
      <c r="AG32" s="4">
        <f t="shared" si="19"/>
        <v>133009.07008731432</v>
      </c>
      <c r="AI32" s="15">
        <v>2304.78</v>
      </c>
      <c r="AK32" s="4">
        <f t="shared" si="33"/>
        <v>588.1336513984876</v>
      </c>
      <c r="AM32" s="4">
        <f t="shared" si="20"/>
        <v>1716.6463486015127</v>
      </c>
      <c r="AO32" s="4">
        <f t="shared" si="21"/>
        <v>83830.06658208759</v>
      </c>
      <c r="AQ32" s="15">
        <v>9875.87</v>
      </c>
      <c r="AS32" s="4">
        <f t="shared" si="34"/>
        <v>2520.127947279209</v>
      </c>
      <c r="AU32" s="4">
        <f t="shared" si="22"/>
        <v>7355.742052720792</v>
      </c>
      <c r="AW32" s="4">
        <f t="shared" si="23"/>
        <v>359208.32300607325</v>
      </c>
      <c r="AY32">
        <v>1468.53</v>
      </c>
      <c r="BA32" s="4">
        <f t="shared" si="35"/>
        <v>374.74032082882735</v>
      </c>
      <c r="BC32" s="4">
        <f t="shared" si="24"/>
        <v>1093.7896791711726</v>
      </c>
      <c r="BE32" s="4">
        <f t="shared" si="25"/>
        <v>53413.893350476435</v>
      </c>
      <c r="BG32" s="15">
        <v>3059.44</v>
      </c>
      <c r="BI32" s="4">
        <f t="shared" si="36"/>
        <v>780.7086929029606</v>
      </c>
      <c r="BK32" s="4">
        <f t="shared" si="26"/>
        <v>2278.7313070970395</v>
      </c>
      <c r="BM32" s="4">
        <f t="shared" si="38"/>
        <v>111278.8967515154</v>
      </c>
      <c r="BO32" s="15">
        <v>2238.83</v>
      </c>
      <c r="BQ32" s="4">
        <f t="shared" si="37"/>
        <v>824.1462500325741</v>
      </c>
      <c r="BS32" s="4">
        <f t="shared" si="27"/>
        <v>1414.6837499674257</v>
      </c>
      <c r="BU32" s="4">
        <f t="shared" si="28"/>
        <v>118461.1344365888</v>
      </c>
      <c r="BW32">
        <v>11422.1</v>
      </c>
      <c r="BY32" s="4">
        <f t="shared" si="11"/>
        <v>2914.699476532213</v>
      </c>
      <c r="CA32" s="4">
        <f t="shared" si="9"/>
        <v>8507.400523467788</v>
      </c>
      <c r="CC32" s="4">
        <f t="shared" si="10"/>
        <v>415448.8869721268</v>
      </c>
    </row>
    <row r="33" spans="1:81" ht="12.75">
      <c r="A33" s="9">
        <v>19</v>
      </c>
      <c r="C33">
        <v>3263.4</v>
      </c>
      <c r="E33" s="4">
        <f t="shared" si="29"/>
        <v>816.0455928545014</v>
      </c>
      <c r="G33" s="4">
        <f t="shared" si="12"/>
        <v>2447.354407145499</v>
      </c>
      <c r="I33" s="4">
        <f t="shared" si="13"/>
        <v>116250.18637169106</v>
      </c>
      <c r="K33" s="173">
        <v>1304.02</v>
      </c>
      <c r="M33" s="4">
        <f t="shared" si="30"/>
        <v>474.36414096862666</v>
      </c>
      <c r="N33"/>
      <c r="O33" s="4">
        <f t="shared" si="14"/>
        <v>829.6558590313733</v>
      </c>
      <c r="P33"/>
      <c r="Q33" s="4">
        <f t="shared" si="15"/>
        <v>68168.76464549614</v>
      </c>
      <c r="S33" s="15">
        <v>6347.96</v>
      </c>
      <c r="U33" s="4">
        <f t="shared" si="31"/>
        <v>2309.205866770567</v>
      </c>
      <c r="W33" s="4">
        <f t="shared" si="16"/>
        <v>4038.754133229433</v>
      </c>
      <c r="Y33" s="4">
        <f t="shared" si="17"/>
        <v>331845.735578853</v>
      </c>
      <c r="AA33" s="15">
        <v>2513.77</v>
      </c>
      <c r="AC33" s="4">
        <f t="shared" si="32"/>
        <v>914.4373568502859</v>
      </c>
      <c r="AE33" s="4">
        <f t="shared" si="18"/>
        <v>1599.332643149714</v>
      </c>
      <c r="AG33" s="4">
        <f t="shared" si="19"/>
        <v>131409.7374441646</v>
      </c>
      <c r="AI33" s="15">
        <v>2304.78</v>
      </c>
      <c r="AK33" s="4">
        <f t="shared" si="33"/>
        <v>576.3317077518522</v>
      </c>
      <c r="AM33" s="4">
        <f t="shared" si="20"/>
        <v>1728.448292248148</v>
      </c>
      <c r="AO33" s="4">
        <f t="shared" si="21"/>
        <v>82101.61828983943</v>
      </c>
      <c r="AQ33" s="15">
        <v>9875.87</v>
      </c>
      <c r="AS33" s="4">
        <f t="shared" si="34"/>
        <v>2469.5572206667534</v>
      </c>
      <c r="AU33" s="4">
        <f t="shared" si="22"/>
        <v>7406.312779333248</v>
      </c>
      <c r="AW33" s="4">
        <f t="shared" si="23"/>
        <v>351802.01022674</v>
      </c>
      <c r="AY33">
        <v>1468.53</v>
      </c>
      <c r="BA33" s="4">
        <f t="shared" si="35"/>
        <v>367.2205167845255</v>
      </c>
      <c r="BC33" s="4">
        <f t="shared" si="24"/>
        <v>1101.3094832154745</v>
      </c>
      <c r="BE33" s="4">
        <f t="shared" si="25"/>
        <v>52312.58386726096</v>
      </c>
      <c r="BG33" s="15">
        <v>3059.44</v>
      </c>
      <c r="BI33" s="4">
        <f t="shared" si="36"/>
        <v>765.0424151666684</v>
      </c>
      <c r="BK33" s="4">
        <f t="shared" si="26"/>
        <v>2294.3975848333316</v>
      </c>
      <c r="BM33" s="4">
        <f t="shared" si="38"/>
        <v>108984.49916668207</v>
      </c>
      <c r="BO33" s="15">
        <v>2238.83</v>
      </c>
      <c r="BQ33" s="4">
        <f t="shared" si="37"/>
        <v>814.420299251548</v>
      </c>
      <c r="BS33" s="4">
        <f t="shared" si="27"/>
        <v>1424.409700748452</v>
      </c>
      <c r="BU33" s="4">
        <f t="shared" si="28"/>
        <v>117036.72473584035</v>
      </c>
      <c r="BW33">
        <v>11422.1</v>
      </c>
      <c r="BY33" s="4">
        <f t="shared" si="11"/>
        <v>2856.2110979333715</v>
      </c>
      <c r="CA33" s="4">
        <f t="shared" si="9"/>
        <v>8565.888902066628</v>
      </c>
      <c r="CC33" s="4">
        <f t="shared" si="10"/>
        <v>406882.99807006016</v>
      </c>
    </row>
    <row r="34" spans="1:81" ht="12.75">
      <c r="A34" s="9">
        <v>20</v>
      </c>
      <c r="C34">
        <v>3263.4</v>
      </c>
      <c r="E34" s="4">
        <f t="shared" si="29"/>
        <v>799.220031305376</v>
      </c>
      <c r="G34" s="4">
        <f t="shared" si="12"/>
        <v>2464.179968694624</v>
      </c>
      <c r="I34" s="4">
        <f t="shared" si="13"/>
        <v>113786.00640299644</v>
      </c>
      <c r="K34" s="173">
        <v>1304.02</v>
      </c>
      <c r="M34" s="4">
        <f t="shared" si="30"/>
        <v>468.66025693778596</v>
      </c>
      <c r="N34"/>
      <c r="O34" s="4">
        <f t="shared" si="14"/>
        <v>835.359743062214</v>
      </c>
      <c r="P34"/>
      <c r="Q34" s="4">
        <f t="shared" si="15"/>
        <v>67333.40490243392</v>
      </c>
      <c r="S34" s="15">
        <v>6347.96</v>
      </c>
      <c r="U34" s="4">
        <f t="shared" si="31"/>
        <v>2281.4394321046143</v>
      </c>
      <c r="W34" s="4">
        <f t="shared" si="16"/>
        <v>4066.5205678953857</v>
      </c>
      <c r="Y34" s="4">
        <f t="shared" si="17"/>
        <v>327779.2150109576</v>
      </c>
      <c r="AA34" s="15">
        <v>2513.77</v>
      </c>
      <c r="AC34" s="4">
        <f t="shared" si="32"/>
        <v>903.4419449286316</v>
      </c>
      <c r="AE34" s="4">
        <f t="shared" si="18"/>
        <v>1610.3280550713685</v>
      </c>
      <c r="AG34" s="4">
        <f t="shared" si="19"/>
        <v>129799.40938909324</v>
      </c>
      <c r="AI34" s="15">
        <v>2304.78</v>
      </c>
      <c r="AK34" s="4">
        <f t="shared" si="33"/>
        <v>564.4486257426461</v>
      </c>
      <c r="AM34" s="4">
        <f t="shared" si="20"/>
        <v>1740.3313742573541</v>
      </c>
      <c r="AO34" s="4">
        <f t="shared" si="21"/>
        <v>80361.28691558208</v>
      </c>
      <c r="AQ34" s="15">
        <v>9875.87</v>
      </c>
      <c r="AS34" s="4">
        <f t="shared" si="34"/>
        <v>2418.6388203088372</v>
      </c>
      <c r="AU34" s="4">
        <f t="shared" si="22"/>
        <v>7457.231179691164</v>
      </c>
      <c r="AW34" s="4">
        <f t="shared" si="23"/>
        <v>344344.7790470488</v>
      </c>
      <c r="AY34">
        <v>1468.53</v>
      </c>
      <c r="BA34" s="4">
        <f t="shared" si="35"/>
        <v>359.6490140874191</v>
      </c>
      <c r="BC34" s="4">
        <f t="shared" si="24"/>
        <v>1108.8809859125809</v>
      </c>
      <c r="BE34" s="4">
        <f t="shared" si="25"/>
        <v>51203.70288134838</v>
      </c>
      <c r="BG34" s="15">
        <v>3059.44</v>
      </c>
      <c r="BI34" s="4">
        <f t="shared" si="36"/>
        <v>749.2684317709393</v>
      </c>
      <c r="BK34" s="4">
        <f t="shared" si="26"/>
        <v>2310.1715682290605</v>
      </c>
      <c r="BM34" s="4">
        <f t="shared" si="38"/>
        <v>106674.327598453</v>
      </c>
      <c r="BO34" s="15">
        <v>2238.83</v>
      </c>
      <c r="BQ34" s="4">
        <f t="shared" si="37"/>
        <v>804.6274825589024</v>
      </c>
      <c r="BS34" s="4">
        <f t="shared" si="27"/>
        <v>1434.2025174410974</v>
      </c>
      <c r="BU34" s="4">
        <f t="shared" si="28"/>
        <v>115602.52221839926</v>
      </c>
      <c r="BW34">
        <v>11422.1</v>
      </c>
      <c r="BY34" s="4">
        <f t="shared" si="11"/>
        <v>2797.3206117316636</v>
      </c>
      <c r="CA34" s="4">
        <f t="shared" si="9"/>
        <v>8624.779388268336</v>
      </c>
      <c r="CC34" s="4">
        <f t="shared" si="10"/>
        <v>398258.2186817918</v>
      </c>
    </row>
    <row r="35" spans="1:81" ht="12.75">
      <c r="A35" s="9">
        <v>21</v>
      </c>
      <c r="C35">
        <v>3263.4</v>
      </c>
      <c r="E35" s="4">
        <f t="shared" si="29"/>
        <v>782.2787940206006</v>
      </c>
      <c r="G35" s="4">
        <f t="shared" si="12"/>
        <v>2481.1212059793997</v>
      </c>
      <c r="I35" s="4">
        <f t="shared" si="13"/>
        <v>111304.88519701704</v>
      </c>
      <c r="K35" s="173">
        <v>1304.02</v>
      </c>
      <c r="M35" s="4">
        <f t="shared" si="30"/>
        <v>462.9171587042332</v>
      </c>
      <c r="N35"/>
      <c r="O35" s="4">
        <f t="shared" si="14"/>
        <v>841.1028412957668</v>
      </c>
      <c r="P35"/>
      <c r="Q35" s="4">
        <f t="shared" si="15"/>
        <v>66492.30206113815</v>
      </c>
      <c r="S35" s="15">
        <v>6347.96</v>
      </c>
      <c r="U35" s="4">
        <f t="shared" si="31"/>
        <v>2253.4821032003338</v>
      </c>
      <c r="W35" s="4">
        <f t="shared" si="16"/>
        <v>4094.4778967996663</v>
      </c>
      <c r="Y35" s="4">
        <f t="shared" si="17"/>
        <v>323684.73711415794</v>
      </c>
      <c r="AA35" s="15">
        <v>2513.77</v>
      </c>
      <c r="AC35" s="4">
        <f t="shared" si="32"/>
        <v>892.370939550016</v>
      </c>
      <c r="AE35" s="4">
        <f t="shared" si="18"/>
        <v>1621.399060449984</v>
      </c>
      <c r="AG35" s="4">
        <f t="shared" si="19"/>
        <v>128178.01032864326</v>
      </c>
      <c r="AI35" s="15">
        <v>2304.78</v>
      </c>
      <c r="AK35" s="4">
        <f t="shared" si="33"/>
        <v>552.4838475446268</v>
      </c>
      <c r="AM35" s="4">
        <f t="shared" si="20"/>
        <v>1752.2961524553734</v>
      </c>
      <c r="AO35" s="4">
        <f t="shared" si="21"/>
        <v>78608.99076312671</v>
      </c>
      <c r="AQ35" s="15">
        <v>9875.87</v>
      </c>
      <c r="AS35" s="4">
        <f t="shared" si="34"/>
        <v>2367.3703559484607</v>
      </c>
      <c r="AU35" s="4">
        <f t="shared" si="22"/>
        <v>7508.499644051541</v>
      </c>
      <c r="AW35" s="4">
        <f t="shared" si="23"/>
        <v>336836.2794029973</v>
      </c>
      <c r="AY35">
        <v>1468.53</v>
      </c>
      <c r="BA35" s="4">
        <f t="shared" si="35"/>
        <v>352.0254573092701</v>
      </c>
      <c r="BC35" s="4">
        <f t="shared" si="24"/>
        <v>1116.50454269073</v>
      </c>
      <c r="BE35" s="4">
        <f t="shared" si="25"/>
        <v>50087.19833865765</v>
      </c>
      <c r="BG35" s="15">
        <v>3059.44</v>
      </c>
      <c r="BI35" s="4">
        <f t="shared" si="36"/>
        <v>733.3860022393644</v>
      </c>
      <c r="BK35" s="4">
        <f t="shared" si="26"/>
        <v>2326.053997760636</v>
      </c>
      <c r="BM35" s="4">
        <f t="shared" si="38"/>
        <v>104348.27360069237</v>
      </c>
      <c r="BO35" s="15">
        <v>2238.83</v>
      </c>
      <c r="BQ35" s="4">
        <f t="shared" si="37"/>
        <v>794.7673402514949</v>
      </c>
      <c r="BS35" s="4">
        <f t="shared" si="27"/>
        <v>1444.062659748505</v>
      </c>
      <c r="BU35" s="4">
        <f t="shared" si="28"/>
        <v>114158.45955865075</v>
      </c>
      <c r="BW35">
        <v>11422.1</v>
      </c>
      <c r="BY35" s="4">
        <f t="shared" si="11"/>
        <v>2738.0252534373185</v>
      </c>
      <c r="CA35" s="4">
        <f t="shared" si="9"/>
        <v>8684.074746562681</v>
      </c>
      <c r="CC35" s="4">
        <f t="shared" si="10"/>
        <v>389574.1439352291</v>
      </c>
    </row>
    <row r="36" spans="1:81" ht="12.75">
      <c r="A36" s="9">
        <v>22</v>
      </c>
      <c r="C36">
        <v>3263.4</v>
      </c>
      <c r="E36" s="4">
        <f t="shared" si="29"/>
        <v>765.2210857294921</v>
      </c>
      <c r="G36" s="4">
        <f t="shared" si="12"/>
        <v>2498.178914270508</v>
      </c>
      <c r="I36" s="4">
        <f t="shared" si="13"/>
        <v>108806.70628274653</v>
      </c>
      <c r="K36" s="173">
        <v>1304.02</v>
      </c>
      <c r="M36" s="4">
        <f t="shared" si="30"/>
        <v>457.1345766703248</v>
      </c>
      <c r="N36"/>
      <c r="O36" s="4">
        <f t="shared" si="14"/>
        <v>846.8854233296752</v>
      </c>
      <c r="P36"/>
      <c r="Q36" s="4">
        <f t="shared" si="15"/>
        <v>65645.41663780848</v>
      </c>
      <c r="S36" s="15">
        <v>6347.96</v>
      </c>
      <c r="U36" s="4">
        <f t="shared" si="31"/>
        <v>2225.3325676598356</v>
      </c>
      <c r="W36" s="4">
        <f t="shared" si="16"/>
        <v>4122.627432340165</v>
      </c>
      <c r="Y36" s="4">
        <f t="shared" si="17"/>
        <v>319562.10968181776</v>
      </c>
      <c r="AA36" s="15">
        <v>2513.77</v>
      </c>
      <c r="AC36" s="4">
        <f t="shared" si="32"/>
        <v>881.2238210094224</v>
      </c>
      <c r="AE36" s="4">
        <f t="shared" si="18"/>
        <v>1632.5461789905776</v>
      </c>
      <c r="AG36" s="4">
        <f t="shared" si="19"/>
        <v>126545.46414965267</v>
      </c>
      <c r="AI36" s="15">
        <v>2304.78</v>
      </c>
      <c r="AK36" s="4">
        <f t="shared" si="33"/>
        <v>540.4368114964961</v>
      </c>
      <c r="AM36" s="4">
        <f t="shared" si="20"/>
        <v>1764.343188503504</v>
      </c>
      <c r="AO36" s="4">
        <f t="shared" si="21"/>
        <v>76844.6475746232</v>
      </c>
      <c r="AQ36" s="15">
        <v>9875.87</v>
      </c>
      <c r="AS36" s="4">
        <f t="shared" si="34"/>
        <v>2315.7494208956064</v>
      </c>
      <c r="AU36" s="4">
        <f t="shared" si="22"/>
        <v>7560.120579104394</v>
      </c>
      <c r="AW36" s="4">
        <f t="shared" si="23"/>
        <v>329276.1588238929</v>
      </c>
      <c r="AY36">
        <v>1468.53</v>
      </c>
      <c r="BA36" s="4">
        <f t="shared" si="35"/>
        <v>344.34948857827135</v>
      </c>
      <c r="BC36" s="4">
        <f t="shared" si="24"/>
        <v>1124.1805114217286</v>
      </c>
      <c r="BE36" s="4">
        <f t="shared" si="25"/>
        <v>48963.01782723592</v>
      </c>
      <c r="BG36" s="15">
        <v>3059.44</v>
      </c>
      <c r="BI36" s="4">
        <f t="shared" si="36"/>
        <v>717.39438100476</v>
      </c>
      <c r="BK36" s="4">
        <f t="shared" si="26"/>
        <v>2342.04561899524</v>
      </c>
      <c r="BM36" s="4">
        <f t="shared" si="38"/>
        <v>102006.22798169713</v>
      </c>
      <c r="BO36" s="15">
        <v>2238.83</v>
      </c>
      <c r="BQ36" s="4">
        <f t="shared" si="37"/>
        <v>784.8394094657239</v>
      </c>
      <c r="BS36" s="4">
        <f t="shared" si="27"/>
        <v>1453.9905905342762</v>
      </c>
      <c r="BU36" s="4">
        <f t="shared" si="28"/>
        <v>112704.46896811647</v>
      </c>
      <c r="BW36">
        <v>11422.1</v>
      </c>
      <c r="BY36" s="4">
        <f t="shared" si="11"/>
        <v>2678.3222395547</v>
      </c>
      <c r="CA36" s="4">
        <f t="shared" si="9"/>
        <v>8743.7777604453</v>
      </c>
      <c r="CC36" s="4">
        <f t="shared" si="10"/>
        <v>380830.3661747838</v>
      </c>
    </row>
    <row r="37" spans="1:81" ht="12.75">
      <c r="A37" s="9">
        <v>23</v>
      </c>
      <c r="C37">
        <v>3263.4</v>
      </c>
      <c r="E37" s="4">
        <f t="shared" si="29"/>
        <v>748.0461056938824</v>
      </c>
      <c r="G37" s="4">
        <f t="shared" si="12"/>
        <v>2515.3538943061176</v>
      </c>
      <c r="I37" s="4">
        <f t="shared" si="13"/>
        <v>106291.35238844041</v>
      </c>
      <c r="K37" s="173">
        <v>1304.02</v>
      </c>
      <c r="M37" s="4">
        <f t="shared" si="30"/>
        <v>451.31223938493326</v>
      </c>
      <c r="N37"/>
      <c r="O37" s="4">
        <f t="shared" si="14"/>
        <v>852.7077606150667</v>
      </c>
      <c r="P37"/>
      <c r="Q37" s="4">
        <f t="shared" si="15"/>
        <v>64792.708877193414</v>
      </c>
      <c r="S37" s="15">
        <v>6347.96</v>
      </c>
      <c r="U37" s="4">
        <f t="shared" si="31"/>
        <v>2196.989504062497</v>
      </c>
      <c r="W37" s="4">
        <f t="shared" si="16"/>
        <v>4150.970495937503</v>
      </c>
      <c r="Y37" s="4">
        <f t="shared" si="17"/>
        <v>315411.13918588025</v>
      </c>
      <c r="AA37" s="15">
        <v>2513.77</v>
      </c>
      <c r="AC37" s="4">
        <f t="shared" si="32"/>
        <v>870.0000660288622</v>
      </c>
      <c r="AE37" s="4">
        <f t="shared" si="18"/>
        <v>1643.7699339711378</v>
      </c>
      <c r="AG37" s="4">
        <f t="shared" si="19"/>
        <v>124901.69421568153</v>
      </c>
      <c r="AI37" s="15">
        <v>2304.78</v>
      </c>
      <c r="AK37" s="4">
        <f t="shared" si="33"/>
        <v>528.3069520755345</v>
      </c>
      <c r="AM37" s="4">
        <f t="shared" si="20"/>
        <v>1776.4730479244658</v>
      </c>
      <c r="AO37" s="4">
        <f t="shared" si="21"/>
        <v>75068.17452669874</v>
      </c>
      <c r="AQ37" s="15">
        <v>9875.87</v>
      </c>
      <c r="AS37" s="4">
        <f t="shared" si="34"/>
        <v>2263.7735919142638</v>
      </c>
      <c r="AU37" s="4">
        <f t="shared" si="22"/>
        <v>7612.0964080857375</v>
      </c>
      <c r="AW37" s="4">
        <f t="shared" si="23"/>
        <v>321664.06241580716</v>
      </c>
      <c r="AY37">
        <v>1468.53</v>
      </c>
      <c r="BA37" s="4">
        <f t="shared" si="35"/>
        <v>336.62074756224695</v>
      </c>
      <c r="BC37" s="4">
        <f t="shared" si="24"/>
        <v>1131.909252437753</v>
      </c>
      <c r="BE37" s="4">
        <f t="shared" si="25"/>
        <v>47831.10857479816</v>
      </c>
      <c r="BG37" s="15">
        <v>3059.44</v>
      </c>
      <c r="BI37" s="4">
        <f t="shared" si="36"/>
        <v>701.2928173741677</v>
      </c>
      <c r="BK37" s="4">
        <f t="shared" si="26"/>
        <v>2358.147182625832</v>
      </c>
      <c r="BM37" s="4">
        <f t="shared" si="38"/>
        <v>99648.0807990713</v>
      </c>
      <c r="BO37" s="15">
        <v>2238.83</v>
      </c>
      <c r="BQ37" s="4">
        <f t="shared" si="37"/>
        <v>774.8432241558007</v>
      </c>
      <c r="BS37" s="4">
        <f t="shared" si="27"/>
        <v>1463.9867758441992</v>
      </c>
      <c r="BU37" s="4">
        <f t="shared" si="28"/>
        <v>111240.48219227228</v>
      </c>
      <c r="BW37">
        <v>11422.1</v>
      </c>
      <c r="BY37" s="4">
        <f t="shared" si="11"/>
        <v>2618.208767451639</v>
      </c>
      <c r="CA37" s="4">
        <f t="shared" si="9"/>
        <v>8803.891232548362</v>
      </c>
      <c r="CC37" s="4">
        <f t="shared" si="10"/>
        <v>372026.47494223545</v>
      </c>
    </row>
    <row r="38" spans="1:81" ht="12.75">
      <c r="A38" s="9">
        <v>24</v>
      </c>
      <c r="C38">
        <v>3263.4</v>
      </c>
      <c r="E38" s="4">
        <f t="shared" si="29"/>
        <v>730.7530476705278</v>
      </c>
      <c r="G38" s="4">
        <f t="shared" si="12"/>
        <v>2532.6469523294722</v>
      </c>
      <c r="I38" s="4">
        <f t="shared" si="13"/>
        <v>103758.70543611095</v>
      </c>
      <c r="K38" s="173">
        <v>1304.02</v>
      </c>
      <c r="M38" s="4">
        <f t="shared" si="30"/>
        <v>445.44987353070474</v>
      </c>
      <c r="N38"/>
      <c r="O38" s="4">
        <f t="shared" si="14"/>
        <v>858.5701264692952</v>
      </c>
      <c r="P38"/>
      <c r="Q38" s="4">
        <f t="shared" si="15"/>
        <v>63934.138750724116</v>
      </c>
      <c r="S38" s="15">
        <v>6347.96</v>
      </c>
      <c r="U38" s="4">
        <f t="shared" si="31"/>
        <v>2168.4515819029266</v>
      </c>
      <c r="W38" s="4">
        <f t="shared" si="16"/>
        <v>4179.508418097073</v>
      </c>
      <c r="Y38" s="4">
        <f t="shared" si="17"/>
        <v>311231.63076778315</v>
      </c>
      <c r="AA38" s="15">
        <v>2513.77</v>
      </c>
      <c r="AC38" s="4">
        <f t="shared" si="32"/>
        <v>858.6991477328105</v>
      </c>
      <c r="AE38" s="4">
        <f t="shared" si="18"/>
        <v>1655.0708522671894</v>
      </c>
      <c r="AG38" s="4">
        <f t="shared" si="19"/>
        <v>123246.62336341434</v>
      </c>
      <c r="AI38" s="15">
        <v>2304.78</v>
      </c>
      <c r="AK38" s="4">
        <f t="shared" si="33"/>
        <v>516.0936998710539</v>
      </c>
      <c r="AM38" s="4">
        <f t="shared" si="20"/>
        <v>1788.6863001289462</v>
      </c>
      <c r="AO38" s="4">
        <f t="shared" si="21"/>
        <v>73279.4882265698</v>
      </c>
      <c r="AQ38" s="15">
        <v>9875.87</v>
      </c>
      <c r="AS38" s="4">
        <f t="shared" si="34"/>
        <v>2211.4404291086744</v>
      </c>
      <c r="AU38" s="4">
        <f t="shared" si="22"/>
        <v>7664.429570891327</v>
      </c>
      <c r="AW38" s="4">
        <f t="shared" si="23"/>
        <v>313999.63284491585</v>
      </c>
      <c r="AY38">
        <v>1468.53</v>
      </c>
      <c r="BA38" s="4">
        <f t="shared" si="35"/>
        <v>328.83887145173736</v>
      </c>
      <c r="BC38" s="4">
        <f t="shared" si="24"/>
        <v>1139.6911285482627</v>
      </c>
      <c r="BE38" s="4">
        <f t="shared" si="25"/>
        <v>46691.4174462499</v>
      </c>
      <c r="BG38" s="15">
        <v>3059.44</v>
      </c>
      <c r="BI38" s="4">
        <f t="shared" si="36"/>
        <v>685.0805554936152</v>
      </c>
      <c r="BK38" s="4">
        <f t="shared" si="26"/>
        <v>2374.359444506385</v>
      </c>
      <c r="BM38" s="4">
        <f t="shared" si="38"/>
        <v>97273.72135456491</v>
      </c>
      <c r="BO38" s="15">
        <v>2238.83</v>
      </c>
      <c r="BQ38" s="4">
        <f t="shared" si="37"/>
        <v>764.7783150718719</v>
      </c>
      <c r="BS38" s="4">
        <f t="shared" si="27"/>
        <v>1474.051684928128</v>
      </c>
      <c r="BU38" s="4">
        <f t="shared" si="28"/>
        <v>109766.43050734415</v>
      </c>
      <c r="BW38">
        <v>11422.1</v>
      </c>
      <c r="BY38" s="4">
        <f t="shared" si="11"/>
        <v>2557.6820152278688</v>
      </c>
      <c r="CA38" s="4">
        <f t="shared" si="9"/>
        <v>8864.417984772132</v>
      </c>
      <c r="CC38" s="4">
        <f t="shared" si="10"/>
        <v>363162.0569574633</v>
      </c>
    </row>
    <row r="39" spans="1:81" ht="12.75">
      <c r="A39" s="9">
        <v>25</v>
      </c>
      <c r="C39">
        <v>3263.4</v>
      </c>
      <c r="E39" s="4">
        <f t="shared" si="29"/>
        <v>713.3410998732628</v>
      </c>
      <c r="G39" s="4">
        <f t="shared" si="12"/>
        <v>2550.058900126737</v>
      </c>
      <c r="I39" s="4">
        <f t="shared" si="13"/>
        <v>101208.64653598421</v>
      </c>
      <c r="K39" s="173">
        <v>1304.02</v>
      </c>
      <c r="M39" s="4">
        <f t="shared" si="30"/>
        <v>439.5472039112283</v>
      </c>
      <c r="N39"/>
      <c r="O39" s="4">
        <f t="shared" si="14"/>
        <v>864.4727960887717</v>
      </c>
      <c r="P39"/>
      <c r="Q39" s="4">
        <f t="shared" si="15"/>
        <v>63069.66595463535</v>
      </c>
      <c r="S39" s="15">
        <v>6347.96</v>
      </c>
      <c r="U39" s="4">
        <f t="shared" si="31"/>
        <v>2139.7174615285094</v>
      </c>
      <c r="W39" s="4">
        <f t="shared" si="16"/>
        <v>4208.242538471491</v>
      </c>
      <c r="Y39" s="4">
        <f t="shared" si="17"/>
        <v>307023.3882293117</v>
      </c>
      <c r="AA39" s="15">
        <v>2513.77</v>
      </c>
      <c r="AC39" s="4">
        <f t="shared" si="32"/>
        <v>847.3205356234736</v>
      </c>
      <c r="AE39" s="4">
        <f t="shared" si="18"/>
        <v>1666.4494643765265</v>
      </c>
      <c r="AG39" s="4">
        <f t="shared" si="19"/>
        <v>121580.17389903782</v>
      </c>
      <c r="AI39" s="15">
        <v>2304.78</v>
      </c>
      <c r="AK39" s="4">
        <f t="shared" si="33"/>
        <v>503.79648155766733</v>
      </c>
      <c r="AM39" s="4">
        <f t="shared" si="20"/>
        <v>1800.9835184423328</v>
      </c>
      <c r="AO39" s="4">
        <f t="shared" si="21"/>
        <v>71478.50470812747</v>
      </c>
      <c r="AQ39" s="15">
        <v>9875.87</v>
      </c>
      <c r="AS39" s="4">
        <f t="shared" si="34"/>
        <v>2158.7474758087965</v>
      </c>
      <c r="AU39" s="4">
        <f t="shared" si="22"/>
        <v>7717.122524191204</v>
      </c>
      <c r="AW39" s="4">
        <f t="shared" si="23"/>
        <v>306282.5103207246</v>
      </c>
      <c r="AY39">
        <v>1468.53</v>
      </c>
      <c r="BA39" s="4">
        <f t="shared" si="35"/>
        <v>321.0034949429681</v>
      </c>
      <c r="BC39" s="4">
        <f t="shared" si="24"/>
        <v>1147.526505057032</v>
      </c>
      <c r="BE39" s="4">
        <f t="shared" si="25"/>
        <v>45543.89094119287</v>
      </c>
      <c r="BG39" s="15">
        <v>3059.44</v>
      </c>
      <c r="BI39" s="4">
        <f t="shared" si="36"/>
        <v>668.7568343126338</v>
      </c>
      <c r="BK39" s="4">
        <f t="shared" si="26"/>
        <v>2390.6831656873665</v>
      </c>
      <c r="BM39" s="4">
        <f t="shared" si="38"/>
        <v>94883.03818887754</v>
      </c>
      <c r="BO39" s="15">
        <v>2238.83</v>
      </c>
      <c r="BQ39" s="4">
        <f t="shared" si="37"/>
        <v>754.644209737991</v>
      </c>
      <c r="BS39" s="4">
        <f t="shared" si="27"/>
        <v>1484.185790262009</v>
      </c>
      <c r="BU39" s="4">
        <f t="shared" si="28"/>
        <v>108282.24471708214</v>
      </c>
      <c r="BW39">
        <v>11422.1</v>
      </c>
      <c r="BY39" s="4">
        <f t="shared" si="11"/>
        <v>2496.7391415825605</v>
      </c>
      <c r="CA39" s="4">
        <f t="shared" si="9"/>
        <v>8925.36085841744</v>
      </c>
      <c r="CC39" s="4">
        <f t="shared" si="10"/>
        <v>354236.69609904586</v>
      </c>
    </row>
    <row r="40" spans="1:81" ht="12.75">
      <c r="A40" s="9">
        <v>26</v>
      </c>
      <c r="C40">
        <v>3263.4</v>
      </c>
      <c r="E40" s="4">
        <f t="shared" si="29"/>
        <v>695.8094449348914</v>
      </c>
      <c r="G40" s="4">
        <f t="shared" si="12"/>
        <v>2567.5905550651087</v>
      </c>
      <c r="I40" s="4">
        <f t="shared" si="13"/>
        <v>98641.0559809191</v>
      </c>
      <c r="K40" s="173">
        <v>1304.02</v>
      </c>
      <c r="M40" s="4">
        <f t="shared" si="30"/>
        <v>433.603953438118</v>
      </c>
      <c r="N40"/>
      <c r="O40" s="4">
        <f t="shared" si="14"/>
        <v>870.416046561882</v>
      </c>
      <c r="P40"/>
      <c r="Q40" s="4">
        <f t="shared" si="15"/>
        <v>62199.24990807346</v>
      </c>
      <c r="S40" s="15">
        <v>6347.96</v>
      </c>
      <c r="U40" s="4">
        <f t="shared" si="31"/>
        <v>2110.785794076518</v>
      </c>
      <c r="W40" s="4">
        <f t="shared" si="16"/>
        <v>4237.174205923482</v>
      </c>
      <c r="Y40" s="4">
        <f t="shared" si="17"/>
        <v>302786.2140233882</v>
      </c>
      <c r="AA40" s="15">
        <v>2513.77</v>
      </c>
      <c r="AC40" s="4">
        <f t="shared" si="32"/>
        <v>835.863695555885</v>
      </c>
      <c r="AE40" s="4">
        <f t="shared" si="18"/>
        <v>1677.906304444115</v>
      </c>
      <c r="AG40" s="4">
        <f t="shared" si="19"/>
        <v>119902.26759459371</v>
      </c>
      <c r="AI40" s="15">
        <v>2304.78</v>
      </c>
      <c r="AK40" s="4">
        <f t="shared" si="33"/>
        <v>491.4147198683763</v>
      </c>
      <c r="AM40" s="4">
        <f t="shared" si="20"/>
        <v>1813.3652801316239</v>
      </c>
      <c r="AO40" s="4">
        <f t="shared" si="21"/>
        <v>69665.13942799585</v>
      </c>
      <c r="AQ40" s="15">
        <v>9875.87</v>
      </c>
      <c r="AS40" s="4">
        <f t="shared" si="34"/>
        <v>2105.692258454982</v>
      </c>
      <c r="AU40" s="4">
        <f t="shared" si="22"/>
        <v>7770.177741545019</v>
      </c>
      <c r="AW40" s="4">
        <f t="shared" si="23"/>
        <v>298512.3325791796</v>
      </c>
      <c r="AY40">
        <v>1468.53</v>
      </c>
      <c r="BA40" s="4">
        <f t="shared" si="35"/>
        <v>313.11425022070097</v>
      </c>
      <c r="BC40" s="4">
        <f t="shared" si="24"/>
        <v>1155.415749779299</v>
      </c>
      <c r="BE40" s="4">
        <f t="shared" si="25"/>
        <v>44388.47519141357</v>
      </c>
      <c r="BG40" s="15">
        <v>3059.44</v>
      </c>
      <c r="BI40" s="4">
        <f t="shared" si="36"/>
        <v>652.3208875485332</v>
      </c>
      <c r="BK40" s="4">
        <f t="shared" si="26"/>
        <v>2407.119112451467</v>
      </c>
      <c r="BM40" s="4">
        <f t="shared" si="38"/>
        <v>92475.91907642607</v>
      </c>
      <c r="BO40" s="15">
        <v>2238.83</v>
      </c>
      <c r="BQ40" s="4">
        <f t="shared" si="37"/>
        <v>744.4404324299397</v>
      </c>
      <c r="BS40" s="4">
        <f t="shared" si="27"/>
        <v>1494.38956757006</v>
      </c>
      <c r="BU40" s="4">
        <f t="shared" si="28"/>
        <v>106787.85514951208</v>
      </c>
      <c r="BW40">
        <v>11422.1</v>
      </c>
      <c r="BY40" s="4">
        <f t="shared" si="11"/>
        <v>2435.3772856809405</v>
      </c>
      <c r="CA40" s="4">
        <f t="shared" si="9"/>
        <v>8986.72271431906</v>
      </c>
      <c r="CC40" s="4">
        <f t="shared" si="10"/>
        <v>345249.9733847268</v>
      </c>
    </row>
    <row r="41" spans="1:81" ht="12.75">
      <c r="A41" s="9">
        <v>27</v>
      </c>
      <c r="C41">
        <v>3263.4</v>
      </c>
      <c r="E41" s="4">
        <f t="shared" si="29"/>
        <v>678.1572598688189</v>
      </c>
      <c r="G41" s="4">
        <f t="shared" si="12"/>
        <v>2585.242740131181</v>
      </c>
      <c r="I41" s="4">
        <f t="shared" si="13"/>
        <v>96055.81324078792</v>
      </c>
      <c r="K41" s="173">
        <v>1304.02</v>
      </c>
      <c r="M41" s="4">
        <f t="shared" si="30"/>
        <v>427.61984311800506</v>
      </c>
      <c r="N41"/>
      <c r="O41" s="4">
        <f t="shared" si="14"/>
        <v>876.4001568819949</v>
      </c>
      <c r="P41"/>
      <c r="Q41" s="4">
        <f t="shared" si="15"/>
        <v>61322.84975119147</v>
      </c>
      <c r="S41" s="15">
        <v>6347.96</v>
      </c>
      <c r="U41" s="4">
        <f t="shared" si="31"/>
        <v>2081.655221410794</v>
      </c>
      <c r="W41" s="4">
        <f t="shared" si="16"/>
        <v>4266.304778589206</v>
      </c>
      <c r="Y41" s="4">
        <f t="shared" si="17"/>
        <v>298519.909244799</v>
      </c>
      <c r="AA41" s="15">
        <v>2513.77</v>
      </c>
      <c r="AC41" s="4">
        <f t="shared" si="32"/>
        <v>824.3280897128318</v>
      </c>
      <c r="AE41" s="4">
        <f t="shared" si="18"/>
        <v>1689.4419102871682</v>
      </c>
      <c r="AG41" s="4">
        <f t="shared" si="19"/>
        <v>118212.82568430655</v>
      </c>
      <c r="AI41" s="15">
        <v>2304.78</v>
      </c>
      <c r="AK41" s="4">
        <f t="shared" si="33"/>
        <v>478.94783356747143</v>
      </c>
      <c r="AM41" s="4">
        <f t="shared" si="20"/>
        <v>1825.8321664325288</v>
      </c>
      <c r="AO41" s="4">
        <f t="shared" si="21"/>
        <v>67839.30726156331</v>
      </c>
      <c r="AQ41" s="15">
        <v>9875.87</v>
      </c>
      <c r="AS41" s="4">
        <f t="shared" si="34"/>
        <v>2052.2722864818597</v>
      </c>
      <c r="AU41" s="4">
        <f t="shared" si="22"/>
        <v>7823.597713518141</v>
      </c>
      <c r="AW41" s="4">
        <f t="shared" si="23"/>
        <v>290688.7348656615</v>
      </c>
      <c r="AY41">
        <v>1468.53</v>
      </c>
      <c r="BA41" s="4">
        <f t="shared" si="35"/>
        <v>305.1707669409683</v>
      </c>
      <c r="BC41" s="4">
        <f t="shared" si="24"/>
        <v>1163.3592330590318</v>
      </c>
      <c r="BE41" s="4">
        <f t="shared" si="25"/>
        <v>43225.11595835454</v>
      </c>
      <c r="BG41" s="15">
        <v>3059.44</v>
      </c>
      <c r="BI41" s="4">
        <f t="shared" si="36"/>
        <v>635.7719436504292</v>
      </c>
      <c r="BK41" s="4">
        <f t="shared" si="26"/>
        <v>2423.668056349571</v>
      </c>
      <c r="BM41" s="4">
        <f t="shared" si="38"/>
        <v>90052.2510200765</v>
      </c>
      <c r="BO41" s="15">
        <v>2238.83</v>
      </c>
      <c r="BQ41" s="4">
        <f t="shared" si="37"/>
        <v>734.1665041528955</v>
      </c>
      <c r="BS41" s="4">
        <f t="shared" si="27"/>
        <v>1504.6634958471045</v>
      </c>
      <c r="BU41" s="4">
        <f t="shared" si="28"/>
        <v>105283.19165366497</v>
      </c>
      <c r="BW41">
        <v>11422.1</v>
      </c>
      <c r="BY41" s="4">
        <f t="shared" si="11"/>
        <v>2373.5935670199965</v>
      </c>
      <c r="CA41" s="4">
        <f t="shared" si="9"/>
        <v>9048.506432980004</v>
      </c>
      <c r="CC41" s="4">
        <f t="shared" si="10"/>
        <v>336201.4669517468</v>
      </c>
    </row>
    <row r="42" spans="1:81" ht="12.75">
      <c r="A42" s="9">
        <v>28</v>
      </c>
      <c r="C42">
        <v>3263.4</v>
      </c>
      <c r="E42" s="4">
        <f t="shared" si="29"/>
        <v>660.383716030417</v>
      </c>
      <c r="G42" s="4">
        <f t="shared" si="12"/>
        <v>2603.016283969583</v>
      </c>
      <c r="I42" s="4">
        <f t="shared" si="13"/>
        <v>93452.79695681833</v>
      </c>
      <c r="K42" s="173">
        <v>1304.02</v>
      </c>
      <c r="M42" s="4">
        <f t="shared" si="30"/>
        <v>421.59459203944135</v>
      </c>
      <c r="N42"/>
      <c r="O42" s="4">
        <f t="shared" si="14"/>
        <v>882.4254079605587</v>
      </c>
      <c r="P42"/>
      <c r="Q42" s="4">
        <f t="shared" si="15"/>
        <v>60440.42434323091</v>
      </c>
      <c r="S42" s="15">
        <v>6347.96</v>
      </c>
      <c r="U42" s="4">
        <f t="shared" si="31"/>
        <v>2052.324376057993</v>
      </c>
      <c r="W42" s="4">
        <f t="shared" si="16"/>
        <v>4295.635623942007</v>
      </c>
      <c r="Y42" s="4">
        <f t="shared" si="17"/>
        <v>294224.273620857</v>
      </c>
      <c r="AA42" s="15">
        <v>2513.77</v>
      </c>
      <c r="AC42" s="4">
        <f t="shared" si="32"/>
        <v>812.7131765796075</v>
      </c>
      <c r="AE42" s="4">
        <f t="shared" si="18"/>
        <v>1701.0568234203924</v>
      </c>
      <c r="AG42" s="4">
        <f t="shared" si="19"/>
        <v>116511.76886088615</v>
      </c>
      <c r="AI42" s="15">
        <v>2304.78</v>
      </c>
      <c r="AK42" s="4">
        <f t="shared" si="33"/>
        <v>466.3952374232478</v>
      </c>
      <c r="AM42" s="4">
        <f t="shared" si="20"/>
        <v>1838.3847625767523</v>
      </c>
      <c r="AO42" s="4">
        <f t="shared" si="21"/>
        <v>66000.92249898656</v>
      </c>
      <c r="AQ42" s="15">
        <v>9875.87</v>
      </c>
      <c r="AS42" s="4">
        <f t="shared" si="34"/>
        <v>1998.4850522014226</v>
      </c>
      <c r="AU42" s="4">
        <f t="shared" si="22"/>
        <v>7877.384947798579</v>
      </c>
      <c r="AW42" s="4">
        <f t="shared" si="23"/>
        <v>282811.3499178629</v>
      </c>
      <c r="AY42">
        <v>1468.53</v>
      </c>
      <c r="BA42" s="4">
        <f t="shared" si="35"/>
        <v>297.17267221368746</v>
      </c>
      <c r="BC42" s="4">
        <f t="shared" si="24"/>
        <v>1171.3573277863125</v>
      </c>
      <c r="BE42" s="4">
        <f t="shared" si="25"/>
        <v>42053.75863056823</v>
      </c>
      <c r="BG42" s="15">
        <v>3059.44</v>
      </c>
      <c r="BI42" s="4">
        <f t="shared" si="36"/>
        <v>619.109225763026</v>
      </c>
      <c r="BK42" s="4">
        <f t="shared" si="26"/>
        <v>2440.3307742369743</v>
      </c>
      <c r="BM42" s="4">
        <f t="shared" si="38"/>
        <v>87611.92024583952</v>
      </c>
      <c r="BO42" s="15">
        <v>2238.83</v>
      </c>
      <c r="BQ42" s="4">
        <f t="shared" si="37"/>
        <v>723.8219426189467</v>
      </c>
      <c r="BS42" s="4">
        <f t="shared" si="27"/>
        <v>1515.0080573810533</v>
      </c>
      <c r="BU42" s="4">
        <f t="shared" si="28"/>
        <v>103768.18359628391</v>
      </c>
      <c r="BW42">
        <v>11422.1</v>
      </c>
      <c r="BY42" s="4">
        <f t="shared" si="11"/>
        <v>2311.385085293259</v>
      </c>
      <c r="CA42" s="4">
        <f t="shared" si="9"/>
        <v>9110.714914706741</v>
      </c>
      <c r="CC42" s="4">
        <f t="shared" si="10"/>
        <v>327090.75203704</v>
      </c>
    </row>
    <row r="43" spans="1:81" ht="12.75">
      <c r="A43" s="9">
        <v>29</v>
      </c>
      <c r="C43">
        <v>3263.4</v>
      </c>
      <c r="E43" s="4">
        <f t="shared" si="29"/>
        <v>642.487979078126</v>
      </c>
      <c r="G43" s="4">
        <f t="shared" si="12"/>
        <v>2620.912020921874</v>
      </c>
      <c r="I43" s="4">
        <f t="shared" si="13"/>
        <v>90831.88493589647</v>
      </c>
      <c r="K43" s="173">
        <v>1304.02</v>
      </c>
      <c r="M43" s="4">
        <f t="shared" si="30"/>
        <v>415.5279173597125</v>
      </c>
      <c r="N43"/>
      <c r="O43" s="4">
        <f t="shared" si="14"/>
        <v>888.4920826402874</v>
      </c>
      <c r="P43"/>
      <c r="Q43" s="4">
        <f t="shared" si="15"/>
        <v>59551.93226059062</v>
      </c>
      <c r="S43" s="15">
        <v>6347.96</v>
      </c>
      <c r="U43" s="4">
        <f t="shared" si="31"/>
        <v>2022.7918811433917</v>
      </c>
      <c r="W43" s="4">
        <f t="shared" si="16"/>
        <v>4325.168118856608</v>
      </c>
      <c r="Y43" s="4">
        <f t="shared" si="17"/>
        <v>289899.10550200037</v>
      </c>
      <c r="AA43" s="15">
        <v>2513.77</v>
      </c>
      <c r="AC43" s="4">
        <f t="shared" si="32"/>
        <v>801.0184109185923</v>
      </c>
      <c r="AE43" s="4">
        <f t="shared" si="18"/>
        <v>1712.7515890814077</v>
      </c>
      <c r="AG43" s="4">
        <f t="shared" si="19"/>
        <v>114799.01727180474</v>
      </c>
      <c r="AI43" s="15">
        <v>2304.78</v>
      </c>
      <c r="AK43" s="4">
        <f t="shared" si="33"/>
        <v>453.7563421805326</v>
      </c>
      <c r="AM43" s="4">
        <f t="shared" si="20"/>
        <v>1851.0236578194676</v>
      </c>
      <c r="AO43" s="4">
        <f t="shared" si="21"/>
        <v>64149.898841167094</v>
      </c>
      <c r="AQ43" s="15">
        <v>9875.87</v>
      </c>
      <c r="AS43" s="4">
        <f t="shared" si="34"/>
        <v>1944.3280306853076</v>
      </c>
      <c r="AU43" s="4">
        <f t="shared" si="22"/>
        <v>7931.541969314693</v>
      </c>
      <c r="AW43" s="4">
        <f t="shared" si="23"/>
        <v>274879.80794854823</v>
      </c>
      <c r="AY43">
        <v>1468.53</v>
      </c>
      <c r="BA43" s="4">
        <f t="shared" si="35"/>
        <v>289.1195905851566</v>
      </c>
      <c r="BC43" s="4">
        <f t="shared" si="24"/>
        <v>1179.4104094148433</v>
      </c>
      <c r="BE43" s="4">
        <f t="shared" si="25"/>
        <v>40874.348221153385</v>
      </c>
      <c r="BG43" s="15">
        <v>3059.44</v>
      </c>
      <c r="BI43" s="4">
        <f t="shared" si="36"/>
        <v>602.3319516901466</v>
      </c>
      <c r="BK43" s="4">
        <f t="shared" si="26"/>
        <v>2457.1080483098535</v>
      </c>
      <c r="BM43" s="4">
        <f t="shared" si="38"/>
        <v>85154.81219752967</v>
      </c>
      <c r="BO43" s="15">
        <v>2238.83</v>
      </c>
      <c r="BQ43" s="4">
        <f t="shared" si="37"/>
        <v>713.4062622244519</v>
      </c>
      <c r="BS43" s="4">
        <f t="shared" si="27"/>
        <v>1525.423737775548</v>
      </c>
      <c r="BU43" s="4">
        <f t="shared" si="28"/>
        <v>102242.75985850836</v>
      </c>
      <c r="BW43">
        <v>11422.1</v>
      </c>
      <c r="BY43" s="4">
        <f t="shared" si="11"/>
        <v>2248.7489202546503</v>
      </c>
      <c r="CA43" s="4">
        <f t="shared" si="9"/>
        <v>9173.35107974535</v>
      </c>
      <c r="CC43" s="4">
        <f t="shared" si="10"/>
        <v>317917.4009572947</v>
      </c>
    </row>
    <row r="44" spans="1:81" ht="12.75">
      <c r="A44" s="9">
        <v>30</v>
      </c>
      <c r="C44">
        <v>3263.4</v>
      </c>
      <c r="E44" s="4">
        <f t="shared" si="29"/>
        <v>624.4692089342882</v>
      </c>
      <c r="G44" s="4">
        <f t="shared" si="12"/>
        <v>2638.9307910657117</v>
      </c>
      <c r="I44" s="4">
        <f t="shared" si="13"/>
        <v>88192.95414483076</v>
      </c>
      <c r="K44" s="173">
        <v>1304.02</v>
      </c>
      <c r="M44" s="4">
        <f t="shared" si="30"/>
        <v>409.4195342915605</v>
      </c>
      <c r="N44"/>
      <c r="O44" s="4">
        <f t="shared" si="14"/>
        <v>894.6004657084395</v>
      </c>
      <c r="P44"/>
      <c r="Q44" s="4">
        <f t="shared" si="15"/>
        <v>58657.33179488218</v>
      </c>
      <c r="S44" s="15">
        <v>6347.96</v>
      </c>
      <c r="U44" s="4">
        <f t="shared" si="31"/>
        <v>1993.0563503262526</v>
      </c>
      <c r="W44" s="4">
        <f t="shared" si="16"/>
        <v>4354.903649673747</v>
      </c>
      <c r="Y44" s="4">
        <f t="shared" si="17"/>
        <v>285544.20185232663</v>
      </c>
      <c r="AA44" s="15">
        <v>2513.77</v>
      </c>
      <c r="AC44" s="4">
        <f t="shared" si="32"/>
        <v>789.2432437436576</v>
      </c>
      <c r="AE44" s="4">
        <f t="shared" si="18"/>
        <v>1724.5267562563424</v>
      </c>
      <c r="AG44" s="4">
        <f t="shared" si="19"/>
        <v>113074.4905155484</v>
      </c>
      <c r="AI44" s="15">
        <v>2304.78</v>
      </c>
      <c r="AK44" s="4">
        <f t="shared" si="33"/>
        <v>441.0305545330238</v>
      </c>
      <c r="AM44" s="4">
        <f t="shared" si="20"/>
        <v>1863.7494454669763</v>
      </c>
      <c r="AO44" s="4">
        <f t="shared" si="21"/>
        <v>62286.149395700115</v>
      </c>
      <c r="AQ44" s="15">
        <v>9875.87</v>
      </c>
      <c r="AS44" s="4">
        <f t="shared" si="34"/>
        <v>1889.7986796462692</v>
      </c>
      <c r="AU44" s="4">
        <f t="shared" si="22"/>
        <v>7986.071320353732</v>
      </c>
      <c r="AW44" s="4">
        <f t="shared" si="23"/>
        <v>266893.7366281945</v>
      </c>
      <c r="AY44">
        <v>1468.53</v>
      </c>
      <c r="BA44" s="4">
        <f t="shared" si="35"/>
        <v>281.0111440204295</v>
      </c>
      <c r="BC44" s="4">
        <f t="shared" si="24"/>
        <v>1187.5188559795704</v>
      </c>
      <c r="BE44" s="4">
        <f t="shared" si="25"/>
        <v>39686.82936517381</v>
      </c>
      <c r="BG44" s="15">
        <v>3059.44</v>
      </c>
      <c r="BI44" s="4">
        <f t="shared" si="36"/>
        <v>585.4393338580164</v>
      </c>
      <c r="BK44" s="4">
        <f t="shared" si="26"/>
        <v>2474.000666141984</v>
      </c>
      <c r="BM44" s="4">
        <f t="shared" si="38"/>
        <v>82680.81153138768</v>
      </c>
      <c r="BO44" s="15">
        <v>2238.83</v>
      </c>
      <c r="BQ44" s="4">
        <f t="shared" si="37"/>
        <v>702.918974027245</v>
      </c>
      <c r="BS44" s="4">
        <f t="shared" si="27"/>
        <v>1535.911025972755</v>
      </c>
      <c r="BU44" s="4">
        <f t="shared" si="28"/>
        <v>100706.8488325356</v>
      </c>
      <c r="BW44">
        <v>11422.1</v>
      </c>
      <c r="BY44" s="4">
        <f t="shared" si="11"/>
        <v>2185.682131581401</v>
      </c>
      <c r="CA44" s="4">
        <f t="shared" si="9"/>
        <v>9236.417868418599</v>
      </c>
      <c r="CC44" s="4">
        <f t="shared" si="10"/>
        <v>308680.98308887606</v>
      </c>
    </row>
    <row r="45" spans="1:81" ht="12.75">
      <c r="A45" s="9">
        <v>31</v>
      </c>
      <c r="C45">
        <v>3263.4</v>
      </c>
      <c r="E45" s="4">
        <f t="shared" si="29"/>
        <v>606.3265597457115</v>
      </c>
      <c r="G45" s="4">
        <f t="shared" si="12"/>
        <v>2657.0734402542885</v>
      </c>
      <c r="I45" s="4">
        <f t="shared" si="13"/>
        <v>85535.88070457647</v>
      </c>
      <c r="K45" s="173">
        <v>1304.02</v>
      </c>
      <c r="M45" s="4">
        <f t="shared" si="30"/>
        <v>403.269156089815</v>
      </c>
      <c r="N45"/>
      <c r="O45" s="4">
        <f t="shared" si="14"/>
        <v>900.750843910185</v>
      </c>
      <c r="P45"/>
      <c r="Q45" s="4">
        <f t="shared" si="15"/>
        <v>57756.58095097199</v>
      </c>
      <c r="S45" s="15">
        <v>6347.96</v>
      </c>
      <c r="U45" s="4">
        <f t="shared" si="31"/>
        <v>1963.1163877347456</v>
      </c>
      <c r="W45" s="4">
        <f t="shared" si="16"/>
        <v>4384.843612265255</v>
      </c>
      <c r="Y45" s="4">
        <f t="shared" si="17"/>
        <v>281159.3582400614</v>
      </c>
      <c r="AA45" s="15">
        <v>2513.77</v>
      </c>
      <c r="AC45" s="4">
        <f t="shared" si="32"/>
        <v>777.3871222943952</v>
      </c>
      <c r="AE45" s="4">
        <f t="shared" si="18"/>
        <v>1736.3828777056046</v>
      </c>
      <c r="AG45" s="4">
        <f t="shared" si="19"/>
        <v>111338.1076378428</v>
      </c>
      <c r="AI45" s="15">
        <v>2304.78</v>
      </c>
      <c r="AK45" s="4">
        <f t="shared" si="33"/>
        <v>428.2172770954383</v>
      </c>
      <c r="AM45" s="4">
        <f t="shared" si="20"/>
        <v>1876.562722904562</v>
      </c>
      <c r="AO45" s="4">
        <f t="shared" si="21"/>
        <v>60409.58667279555</v>
      </c>
      <c r="AQ45" s="15">
        <v>9875.87</v>
      </c>
      <c r="AS45" s="4">
        <f t="shared" si="34"/>
        <v>1834.8944393188374</v>
      </c>
      <c r="AU45" s="4">
        <f t="shared" si="22"/>
        <v>8040.975560681163</v>
      </c>
      <c r="AW45" s="4">
        <f t="shared" si="23"/>
        <v>258852.76106751335</v>
      </c>
      <c r="AY45">
        <v>1468.53</v>
      </c>
      <c r="BA45" s="4">
        <f t="shared" si="35"/>
        <v>272.84695188557</v>
      </c>
      <c r="BC45" s="4">
        <f t="shared" si="24"/>
        <v>1195.68304811443</v>
      </c>
      <c r="BE45" s="4">
        <f t="shared" si="25"/>
        <v>38491.146317059385</v>
      </c>
      <c r="BG45" s="15">
        <v>3059.44</v>
      </c>
      <c r="BI45" s="4">
        <f t="shared" si="36"/>
        <v>568.4305792782903</v>
      </c>
      <c r="BK45" s="4">
        <f t="shared" si="26"/>
        <v>2491.00942072171</v>
      </c>
      <c r="BM45" s="4">
        <f t="shared" si="38"/>
        <v>80189.80211066597</v>
      </c>
      <c r="BO45" s="15">
        <v>2238.83</v>
      </c>
      <c r="BQ45" s="4">
        <f t="shared" si="37"/>
        <v>692.3595857236822</v>
      </c>
      <c r="BS45" s="4">
        <f t="shared" si="27"/>
        <v>1546.4704142763176</v>
      </c>
      <c r="BU45" s="4">
        <f t="shared" si="28"/>
        <v>99160.37841825928</v>
      </c>
      <c r="BW45">
        <v>11422.1</v>
      </c>
      <c r="BY45" s="4">
        <f t="shared" si="11"/>
        <v>2122.181758736023</v>
      </c>
      <c r="CA45" s="4">
        <f t="shared" si="9"/>
        <v>9299.918241263978</v>
      </c>
      <c r="CC45" s="4">
        <f t="shared" si="10"/>
        <v>299381.06484761206</v>
      </c>
    </row>
    <row r="46" spans="1:81" ht="12.75">
      <c r="A46" s="9">
        <v>32</v>
      </c>
      <c r="C46">
        <v>3263.4</v>
      </c>
      <c r="E46" s="4">
        <f t="shared" si="29"/>
        <v>588.0591798439632</v>
      </c>
      <c r="G46" s="4">
        <f t="shared" si="12"/>
        <v>2675.340820156037</v>
      </c>
      <c r="I46" s="4">
        <f t="shared" si="13"/>
        <v>82860.53988442043</v>
      </c>
      <c r="K46" s="173">
        <v>1304.02</v>
      </c>
      <c r="M46" s="4">
        <f t="shared" si="30"/>
        <v>397.07649403793243</v>
      </c>
      <c r="N46"/>
      <c r="O46" s="4">
        <f t="shared" si="14"/>
        <v>906.9435059620675</v>
      </c>
      <c r="P46"/>
      <c r="Q46" s="4">
        <f t="shared" si="15"/>
        <v>56849.637445009925</v>
      </c>
      <c r="S46" s="15">
        <v>6347.96</v>
      </c>
      <c r="U46" s="4">
        <f t="shared" si="31"/>
        <v>1932.970587900422</v>
      </c>
      <c r="W46" s="4">
        <f t="shared" si="16"/>
        <v>4414.989412099578</v>
      </c>
      <c r="Y46" s="4">
        <f t="shared" si="17"/>
        <v>276744.3688279618</v>
      </c>
      <c r="AA46" s="15">
        <v>2513.77</v>
      </c>
      <c r="AC46" s="4">
        <f t="shared" si="32"/>
        <v>765.4494900101693</v>
      </c>
      <c r="AE46" s="4">
        <f t="shared" si="18"/>
        <v>1748.3205099898307</v>
      </c>
      <c r="AG46" s="4">
        <f t="shared" si="19"/>
        <v>109589.78712785296</v>
      </c>
      <c r="AI46" s="15">
        <v>2304.78</v>
      </c>
      <c r="AK46" s="4">
        <f t="shared" si="33"/>
        <v>415.3159083754694</v>
      </c>
      <c r="AM46" s="4">
        <f t="shared" si="20"/>
        <v>1889.4640916245307</v>
      </c>
      <c r="AO46" s="4">
        <f t="shared" si="21"/>
        <v>58520.12258117102</v>
      </c>
      <c r="AQ46" s="15">
        <v>9875.87</v>
      </c>
      <c r="AS46" s="4">
        <f t="shared" si="34"/>
        <v>1779.6127323391543</v>
      </c>
      <c r="AU46" s="4">
        <f t="shared" si="22"/>
        <v>8096.257267660847</v>
      </c>
      <c r="AW46" s="4">
        <f t="shared" si="23"/>
        <v>250756.5037998525</v>
      </c>
      <c r="AY46">
        <v>1468.53</v>
      </c>
      <c r="BA46" s="4">
        <f t="shared" si="35"/>
        <v>264.6266309297833</v>
      </c>
      <c r="BC46" s="4">
        <f t="shared" si="24"/>
        <v>1203.9033690702167</v>
      </c>
      <c r="BE46" s="4">
        <f t="shared" si="25"/>
        <v>37287.242947989165</v>
      </c>
      <c r="BG46" s="15">
        <v>3059.44</v>
      </c>
      <c r="BI46" s="4">
        <f t="shared" si="36"/>
        <v>551.3048895108286</v>
      </c>
      <c r="BK46" s="4">
        <f t="shared" si="26"/>
        <v>2508.1351104891714</v>
      </c>
      <c r="BM46" s="4">
        <f t="shared" si="38"/>
        <v>77681.6670001768</v>
      </c>
      <c r="BO46" s="15">
        <v>2238.83</v>
      </c>
      <c r="BQ46" s="4">
        <f t="shared" si="37"/>
        <v>681.7276016255325</v>
      </c>
      <c r="BS46" s="4">
        <f t="shared" si="27"/>
        <v>1557.1023983744674</v>
      </c>
      <c r="BU46" s="4">
        <f t="shared" si="28"/>
        <v>97603.27601988481</v>
      </c>
      <c r="BW46">
        <v>11422.1</v>
      </c>
      <c r="BY46" s="4">
        <f t="shared" si="11"/>
        <v>2058.244820827333</v>
      </c>
      <c r="CA46" s="4">
        <f t="shared" si="9"/>
        <v>9363.855179172668</v>
      </c>
      <c r="CC46" s="4">
        <f t="shared" si="10"/>
        <v>290017.2096684394</v>
      </c>
    </row>
    <row r="47" spans="1:81" ht="12.75">
      <c r="A47" s="9">
        <v>33</v>
      </c>
      <c r="C47">
        <v>3263.4</v>
      </c>
      <c r="E47" s="4">
        <f t="shared" si="29"/>
        <v>569.6662117053904</v>
      </c>
      <c r="G47" s="4">
        <f t="shared" si="12"/>
        <v>2693.7337882946094</v>
      </c>
      <c r="I47" s="4">
        <f t="shared" si="13"/>
        <v>80166.80609612582</v>
      </c>
      <c r="K47" s="173">
        <v>1304.02</v>
      </c>
      <c r="M47" s="4">
        <f t="shared" si="30"/>
        <v>390.8412574344432</v>
      </c>
      <c r="N47"/>
      <c r="O47" s="4">
        <f t="shared" si="14"/>
        <v>913.1787425655568</v>
      </c>
      <c r="P47"/>
      <c r="Q47" s="4">
        <f t="shared" si="15"/>
        <v>55936.45870244437</v>
      </c>
      <c r="S47" s="15">
        <v>6347.96</v>
      </c>
      <c r="U47" s="4">
        <f t="shared" si="31"/>
        <v>1902.6175356922374</v>
      </c>
      <c r="W47" s="4">
        <f t="shared" si="16"/>
        <v>4445.342464307762</v>
      </c>
      <c r="Y47" s="4">
        <f t="shared" si="17"/>
        <v>272299.026363654</v>
      </c>
      <c r="AA47" s="15">
        <v>2513.77</v>
      </c>
      <c r="AC47" s="4">
        <f t="shared" si="32"/>
        <v>753.4297865039891</v>
      </c>
      <c r="AE47" s="4">
        <f t="shared" si="18"/>
        <v>1760.3402134960108</v>
      </c>
      <c r="AG47" s="4">
        <f t="shared" si="19"/>
        <v>107829.44691435696</v>
      </c>
      <c r="AI47" s="15">
        <v>2304.78</v>
      </c>
      <c r="AK47" s="4">
        <f t="shared" si="33"/>
        <v>402.32584274555074</v>
      </c>
      <c r="AM47" s="4">
        <f t="shared" si="20"/>
        <v>1902.4541572544495</v>
      </c>
      <c r="AO47" s="4">
        <f t="shared" si="21"/>
        <v>56617.66842391657</v>
      </c>
      <c r="AQ47" s="15">
        <v>9875.87</v>
      </c>
      <c r="AS47" s="4">
        <f t="shared" si="34"/>
        <v>1723.950963623986</v>
      </c>
      <c r="AU47" s="4">
        <f t="shared" si="22"/>
        <v>8151.919036376015</v>
      </c>
      <c r="AW47" s="4">
        <f t="shared" si="23"/>
        <v>242604.58476347648</v>
      </c>
      <c r="AY47">
        <v>1468.53</v>
      </c>
      <c r="BA47" s="4">
        <f t="shared" si="35"/>
        <v>256.3497952674255</v>
      </c>
      <c r="BC47" s="4">
        <f t="shared" si="24"/>
        <v>1212.1802047325746</v>
      </c>
      <c r="BE47" s="4">
        <f t="shared" si="25"/>
        <v>36075.06274325659</v>
      </c>
      <c r="BG47" s="15">
        <v>3059.44</v>
      </c>
      <c r="BI47" s="4">
        <f t="shared" si="36"/>
        <v>534.0614606262155</v>
      </c>
      <c r="BK47" s="4">
        <f t="shared" si="26"/>
        <v>2525.3785393737844</v>
      </c>
      <c r="BM47" s="4">
        <f t="shared" si="38"/>
        <v>75156.28846080303</v>
      </c>
      <c r="BO47" s="15">
        <v>2238.83</v>
      </c>
      <c r="BQ47" s="4">
        <f t="shared" si="37"/>
        <v>671.0225226367081</v>
      </c>
      <c r="BS47" s="4">
        <f t="shared" si="27"/>
        <v>1567.8074773632918</v>
      </c>
      <c r="BU47" s="4">
        <f t="shared" si="28"/>
        <v>96035.46854252151</v>
      </c>
      <c r="BW47">
        <v>11422.1</v>
      </c>
      <c r="BY47" s="4">
        <f t="shared" si="11"/>
        <v>1993.868316470521</v>
      </c>
      <c r="CA47" s="4">
        <f t="shared" si="9"/>
        <v>9428.231683529479</v>
      </c>
      <c r="CC47" s="4">
        <f t="shared" si="10"/>
        <v>280588.9779849099</v>
      </c>
    </row>
    <row r="48" spans="1:81" ht="12.75">
      <c r="A48" s="9">
        <v>34</v>
      </c>
      <c r="C48">
        <v>3263.4</v>
      </c>
      <c r="E48" s="4">
        <f t="shared" si="29"/>
        <v>551.146791910865</v>
      </c>
      <c r="G48" s="4">
        <f t="shared" si="12"/>
        <v>2712.253208089135</v>
      </c>
      <c r="I48" s="4">
        <f t="shared" si="13"/>
        <v>77454.55288803668</v>
      </c>
      <c r="K48" s="173">
        <v>1304.02</v>
      </c>
      <c r="M48" s="4">
        <f t="shared" si="30"/>
        <v>384.56315357930504</v>
      </c>
      <c r="N48"/>
      <c r="O48" s="4">
        <f t="shared" si="14"/>
        <v>919.456846420695</v>
      </c>
      <c r="P48"/>
      <c r="Q48" s="4">
        <f t="shared" si="15"/>
        <v>55017.00185602367</v>
      </c>
      <c r="S48" s="15">
        <v>6347.96</v>
      </c>
      <c r="U48" s="4">
        <f t="shared" si="31"/>
        <v>1872.0558062501213</v>
      </c>
      <c r="W48" s="4">
        <f t="shared" si="16"/>
        <v>4475.904193749879</v>
      </c>
      <c r="Y48" s="4">
        <f t="shared" si="17"/>
        <v>267823.1221699041</v>
      </c>
      <c r="AA48" s="15">
        <v>2513.77</v>
      </c>
      <c r="AC48" s="4">
        <f t="shared" si="32"/>
        <v>741.3274475362041</v>
      </c>
      <c r="AE48" s="4">
        <f t="shared" si="18"/>
        <v>1772.442552463796</v>
      </c>
      <c r="AG48" s="4">
        <f t="shared" si="19"/>
        <v>106057.00436189317</v>
      </c>
      <c r="AI48" s="15">
        <v>2304.78</v>
      </c>
      <c r="AK48" s="4">
        <f t="shared" si="33"/>
        <v>389.2464704144264</v>
      </c>
      <c r="AM48" s="4">
        <f t="shared" si="20"/>
        <v>1915.533529585574</v>
      </c>
      <c r="AO48" s="4">
        <f t="shared" si="21"/>
        <v>54702.13489433099</v>
      </c>
      <c r="AQ48" s="15">
        <v>9875.87</v>
      </c>
      <c r="AS48" s="4">
        <f t="shared" si="34"/>
        <v>1667.9065202489007</v>
      </c>
      <c r="AU48" s="4">
        <f t="shared" si="22"/>
        <v>8207.9634797511</v>
      </c>
      <c r="AW48" s="4">
        <f t="shared" si="23"/>
        <v>234396.62128372537</v>
      </c>
      <c r="AY48">
        <v>1468.53</v>
      </c>
      <c r="BA48" s="4">
        <f t="shared" si="35"/>
        <v>248.01605635988906</v>
      </c>
      <c r="BC48" s="4">
        <f t="shared" si="24"/>
        <v>1220.513943640111</v>
      </c>
      <c r="BE48" s="4">
        <f t="shared" si="25"/>
        <v>34854.54879961648</v>
      </c>
      <c r="BG48" s="15">
        <v>3059.44</v>
      </c>
      <c r="BI48" s="4">
        <f t="shared" si="36"/>
        <v>516.6994831680208</v>
      </c>
      <c r="BK48" s="4">
        <f t="shared" si="26"/>
        <v>2542.740516831979</v>
      </c>
      <c r="BM48" s="4">
        <f t="shared" si="38"/>
        <v>72613.54794397105</v>
      </c>
      <c r="BO48" s="15">
        <v>2238.83</v>
      </c>
      <c r="BQ48" s="4">
        <f t="shared" si="37"/>
        <v>660.2438462298354</v>
      </c>
      <c r="BS48" s="4">
        <f t="shared" si="27"/>
        <v>1578.5861537701644</v>
      </c>
      <c r="BU48" s="4">
        <f t="shared" si="28"/>
        <v>94456.88238875134</v>
      </c>
      <c r="BW48">
        <v>11422.1</v>
      </c>
      <c r="BY48" s="4">
        <f t="shared" si="11"/>
        <v>1929.0492236462555</v>
      </c>
      <c r="CA48" s="4">
        <f t="shared" si="9"/>
        <v>9493.050776353744</v>
      </c>
      <c r="CC48" s="4">
        <f t="shared" si="10"/>
        <v>271095.92720855615</v>
      </c>
    </row>
    <row r="49" spans="1:81" ht="12.75">
      <c r="A49" s="9">
        <v>35</v>
      </c>
      <c r="C49">
        <v>3263.4</v>
      </c>
      <c r="E49" s="4">
        <f t="shared" si="29"/>
        <v>532.5000511052522</v>
      </c>
      <c r="G49" s="4">
        <f t="shared" si="12"/>
        <v>2730.899948894748</v>
      </c>
      <c r="I49" s="4">
        <f t="shared" si="13"/>
        <v>74723.65293914193</v>
      </c>
      <c r="K49" s="173">
        <v>1304.02</v>
      </c>
      <c r="M49" s="4">
        <f t="shared" si="30"/>
        <v>378.24188776016274</v>
      </c>
      <c r="N49"/>
      <c r="O49" s="4">
        <f t="shared" si="14"/>
        <v>925.7781122398372</v>
      </c>
      <c r="P49"/>
      <c r="Q49" s="4">
        <f t="shared" si="15"/>
        <v>54091.223743783834</v>
      </c>
      <c r="S49" s="15">
        <v>6347.96</v>
      </c>
      <c r="U49" s="4">
        <f t="shared" si="31"/>
        <v>1841.2839649180908</v>
      </c>
      <c r="W49" s="4">
        <f t="shared" si="16"/>
        <v>4506.6760350819095</v>
      </c>
      <c r="Y49" s="4">
        <f t="shared" si="17"/>
        <v>263316.4461348222</v>
      </c>
      <c r="AA49" s="15">
        <v>2513.77</v>
      </c>
      <c r="AC49" s="4">
        <f t="shared" si="32"/>
        <v>729.1419049880155</v>
      </c>
      <c r="AE49" s="4">
        <f t="shared" si="18"/>
        <v>1784.6280950119844</v>
      </c>
      <c r="AG49" s="4">
        <f t="shared" si="19"/>
        <v>104272.37626688118</v>
      </c>
      <c r="AI49" s="15">
        <v>2304.78</v>
      </c>
      <c r="AK49" s="4">
        <f t="shared" si="33"/>
        <v>376.0771773985256</v>
      </c>
      <c r="AM49" s="4">
        <f t="shared" si="20"/>
        <v>1928.7028226014745</v>
      </c>
      <c r="AO49" s="4">
        <f t="shared" si="21"/>
        <v>52773.43207172952</v>
      </c>
      <c r="AQ49" s="15">
        <v>9875.87</v>
      </c>
      <c r="AS49" s="4">
        <f t="shared" si="34"/>
        <v>1611.476771325612</v>
      </c>
      <c r="AU49" s="4">
        <f t="shared" si="22"/>
        <v>8264.39322867439</v>
      </c>
      <c r="AW49" s="4">
        <f t="shared" si="23"/>
        <v>226132.22805505097</v>
      </c>
      <c r="AY49">
        <v>1468.53</v>
      </c>
      <c r="BA49" s="4">
        <f t="shared" si="35"/>
        <v>239.62502299736332</v>
      </c>
      <c r="BC49" s="4">
        <f t="shared" si="24"/>
        <v>1228.9049770026368</v>
      </c>
      <c r="BE49" s="4">
        <f t="shared" si="25"/>
        <v>33625.64382261384</v>
      </c>
      <c r="BG49" s="15">
        <v>3059.44</v>
      </c>
      <c r="BI49" s="4">
        <f t="shared" si="36"/>
        <v>499.21814211480097</v>
      </c>
      <c r="BK49" s="4">
        <f t="shared" si="26"/>
        <v>2560.221857885199</v>
      </c>
      <c r="BM49" s="4">
        <f t="shared" si="38"/>
        <v>70053.32608608584</v>
      </c>
      <c r="BO49" s="15">
        <v>2238.83</v>
      </c>
      <c r="BQ49" s="4">
        <f t="shared" si="37"/>
        <v>649.3910664226655</v>
      </c>
      <c r="BS49" s="4">
        <f t="shared" si="27"/>
        <v>1589.4389335773344</v>
      </c>
      <c r="BU49" s="4">
        <f t="shared" si="28"/>
        <v>92867.44345517401</v>
      </c>
      <c r="BW49">
        <v>11422.1</v>
      </c>
      <c r="BY49" s="4">
        <f t="shared" si="11"/>
        <v>1863.7844995588237</v>
      </c>
      <c r="CA49" s="4">
        <f t="shared" si="9"/>
        <v>9558.315500441176</v>
      </c>
      <c r="CC49" s="4">
        <f t="shared" si="10"/>
        <v>261537.61170811497</v>
      </c>
    </row>
    <row r="50" spans="1:81" ht="12.75">
      <c r="A50" s="9">
        <v>36</v>
      </c>
      <c r="C50">
        <v>3263.4</v>
      </c>
      <c r="E50" s="4">
        <f t="shared" si="29"/>
        <v>513.7251139566008</v>
      </c>
      <c r="G50" s="4">
        <f t="shared" si="12"/>
        <v>2749.674886043399</v>
      </c>
      <c r="I50" s="4">
        <f t="shared" si="13"/>
        <v>71973.97805309853</v>
      </c>
      <c r="K50" s="173">
        <v>1304.02</v>
      </c>
      <c r="M50" s="4">
        <f t="shared" si="30"/>
        <v>371.87716323851384</v>
      </c>
      <c r="N50"/>
      <c r="O50" s="4">
        <f t="shared" si="14"/>
        <v>932.1428367614861</v>
      </c>
      <c r="P50"/>
      <c r="Q50" s="4">
        <f t="shared" si="15"/>
        <v>53159.08090702235</v>
      </c>
      <c r="S50" s="15">
        <v>6347.96</v>
      </c>
      <c r="U50" s="4">
        <f t="shared" si="31"/>
        <v>1810.3005671769026</v>
      </c>
      <c r="W50" s="4">
        <f t="shared" si="16"/>
        <v>4537.659432823098</v>
      </c>
      <c r="Y50" s="4">
        <f t="shared" si="17"/>
        <v>258778.7867019991</v>
      </c>
      <c r="AA50" s="15">
        <v>2513.77</v>
      </c>
      <c r="AC50" s="4">
        <f t="shared" si="32"/>
        <v>716.8725868348081</v>
      </c>
      <c r="AE50" s="4">
        <f t="shared" si="18"/>
        <v>1796.897413165192</v>
      </c>
      <c r="AG50" s="4">
        <f t="shared" si="19"/>
        <v>102475.47885371599</v>
      </c>
      <c r="AI50" s="15">
        <v>2304.78</v>
      </c>
      <c r="AK50" s="4">
        <f t="shared" si="33"/>
        <v>362.81734549314046</v>
      </c>
      <c r="AM50" s="4">
        <f t="shared" si="20"/>
        <v>1941.9626545068597</v>
      </c>
      <c r="AO50" s="4">
        <f t="shared" si="21"/>
        <v>50831.46941722266</v>
      </c>
      <c r="AQ50" s="15">
        <v>9875.87</v>
      </c>
      <c r="AS50" s="4">
        <f t="shared" si="34"/>
        <v>1554.6590678784755</v>
      </c>
      <c r="AU50" s="4">
        <f t="shared" si="22"/>
        <v>8321.210932121525</v>
      </c>
      <c r="AW50" s="4">
        <f t="shared" si="23"/>
        <v>217811.01712292945</v>
      </c>
      <c r="AY50">
        <v>1468.53</v>
      </c>
      <c r="BA50" s="4">
        <f t="shared" si="35"/>
        <v>231.17630128047017</v>
      </c>
      <c r="BC50" s="4">
        <f t="shared" si="24"/>
        <v>1237.3536987195298</v>
      </c>
      <c r="BE50" s="4">
        <f t="shared" si="25"/>
        <v>32388.290123894312</v>
      </c>
      <c r="BG50" s="15">
        <v>3059.44</v>
      </c>
      <c r="BI50" s="4">
        <f t="shared" si="36"/>
        <v>481.6166168418402</v>
      </c>
      <c r="BK50" s="4">
        <f t="shared" si="26"/>
        <v>2577.8233831581597</v>
      </c>
      <c r="BM50" s="4">
        <f t="shared" si="38"/>
        <v>67475.50270292768</v>
      </c>
      <c r="BO50" s="15">
        <v>2238.83</v>
      </c>
      <c r="BQ50" s="4">
        <f t="shared" si="37"/>
        <v>638.4636737543213</v>
      </c>
      <c r="BS50" s="4">
        <f t="shared" si="27"/>
        <v>1600.3663262456785</v>
      </c>
      <c r="BU50" s="4">
        <f t="shared" si="28"/>
        <v>91267.07712892833</v>
      </c>
      <c r="BW50">
        <v>11422.1</v>
      </c>
      <c r="BY50" s="4">
        <f t="shared" si="11"/>
        <v>1798.0710804932905</v>
      </c>
      <c r="CA50" s="4">
        <f t="shared" si="9"/>
        <v>9624.028919506709</v>
      </c>
      <c r="CC50" s="4">
        <f t="shared" si="10"/>
        <v>251913.58278860827</v>
      </c>
    </row>
    <row r="51" spans="1:81" ht="12.75">
      <c r="A51" s="9">
        <v>37</v>
      </c>
      <c r="C51">
        <v>3263.4</v>
      </c>
      <c r="E51" s="4">
        <f t="shared" si="29"/>
        <v>494.8210991150524</v>
      </c>
      <c r="G51" s="4">
        <f t="shared" si="12"/>
        <v>2768.578900884948</v>
      </c>
      <c r="I51" s="4">
        <f t="shared" si="13"/>
        <v>69205.39915221358</v>
      </c>
      <c r="K51" s="173">
        <v>1304.02</v>
      </c>
      <c r="M51" s="4">
        <f t="shared" si="30"/>
        <v>365.46868123577866</v>
      </c>
      <c r="N51"/>
      <c r="O51" s="4">
        <f t="shared" si="14"/>
        <v>938.5513187642214</v>
      </c>
      <c r="P51"/>
      <c r="Q51" s="4">
        <f t="shared" si="15"/>
        <v>52220.52958825813</v>
      </c>
      <c r="S51" s="15">
        <v>6347.96</v>
      </c>
      <c r="U51" s="4">
        <f t="shared" si="31"/>
        <v>1779.104158576244</v>
      </c>
      <c r="W51" s="4">
        <f t="shared" si="16"/>
        <v>4568.855841423756</v>
      </c>
      <c r="Y51" s="4">
        <f t="shared" si="17"/>
        <v>254209.93086057535</v>
      </c>
      <c r="AA51" s="15">
        <v>2513.77</v>
      </c>
      <c r="AC51" s="4">
        <f t="shared" si="32"/>
        <v>704.5189171192975</v>
      </c>
      <c r="AE51" s="4">
        <f t="shared" si="18"/>
        <v>1809.2510828807026</v>
      </c>
      <c r="AG51" s="4">
        <f t="shared" si="19"/>
        <v>100666.22777083529</v>
      </c>
      <c r="AI51" s="15">
        <v>2304.78</v>
      </c>
      <c r="AK51" s="4">
        <f t="shared" si="33"/>
        <v>349.46635224340577</v>
      </c>
      <c r="AM51" s="4">
        <f t="shared" si="20"/>
        <v>1955.3136477565945</v>
      </c>
      <c r="AO51" s="4">
        <f t="shared" si="21"/>
        <v>48876.155769466066</v>
      </c>
      <c r="AQ51" s="15">
        <v>9875.87</v>
      </c>
      <c r="AS51" s="4">
        <f t="shared" si="34"/>
        <v>1497.45074272014</v>
      </c>
      <c r="AU51" s="4">
        <f t="shared" si="22"/>
        <v>8378.41925727986</v>
      </c>
      <c r="AW51" s="4">
        <f t="shared" si="23"/>
        <v>209432.5978656496</v>
      </c>
      <c r="AY51">
        <v>1468.53</v>
      </c>
      <c r="BA51" s="4">
        <f t="shared" si="35"/>
        <v>222.6694946017734</v>
      </c>
      <c r="BC51" s="4">
        <f t="shared" si="24"/>
        <v>1245.8605053982265</v>
      </c>
      <c r="BE51" s="4">
        <f t="shared" si="25"/>
        <v>31142.429618496084</v>
      </c>
      <c r="BG51" s="15">
        <v>3059.44</v>
      </c>
      <c r="BI51" s="4">
        <f t="shared" si="36"/>
        <v>463.8940810826278</v>
      </c>
      <c r="BK51" s="4">
        <f t="shared" si="26"/>
        <v>2595.545918917372</v>
      </c>
      <c r="BM51" s="4">
        <f t="shared" si="38"/>
        <v>64879.95678401031</v>
      </c>
      <c r="BO51" s="15">
        <v>2238.83</v>
      </c>
      <c r="BQ51" s="4">
        <f t="shared" si="37"/>
        <v>627.4611552613823</v>
      </c>
      <c r="BS51" s="4">
        <f t="shared" si="27"/>
        <v>1611.3688447386176</v>
      </c>
      <c r="BU51" s="4">
        <f t="shared" si="28"/>
        <v>89655.7082841897</v>
      </c>
      <c r="BW51">
        <v>11422.1</v>
      </c>
      <c r="BY51" s="4">
        <f t="shared" si="11"/>
        <v>1731.9058816716818</v>
      </c>
      <c r="CA51" s="4">
        <f t="shared" si="9"/>
        <v>9690.194118328318</v>
      </c>
      <c r="CC51" s="4">
        <f t="shared" si="10"/>
        <v>242223.38867027996</v>
      </c>
    </row>
    <row r="52" spans="1:81" ht="12.75">
      <c r="A52" s="9">
        <v>38</v>
      </c>
      <c r="C52">
        <v>3263.4</v>
      </c>
      <c r="E52" s="4">
        <f t="shared" si="29"/>
        <v>475.78711917146836</v>
      </c>
      <c r="G52" s="4">
        <f t="shared" si="12"/>
        <v>2787.6128808285316</v>
      </c>
      <c r="I52" s="4">
        <f t="shared" si="13"/>
        <v>66417.78627138505</v>
      </c>
      <c r="K52" s="173">
        <v>1304.02</v>
      </c>
      <c r="M52" s="4">
        <f t="shared" si="30"/>
        <v>359.0161409192746</v>
      </c>
      <c r="N52"/>
      <c r="O52" s="4">
        <f t="shared" si="14"/>
        <v>945.0038590807253</v>
      </c>
      <c r="P52"/>
      <c r="Q52" s="4">
        <f t="shared" si="15"/>
        <v>51275.5257291774</v>
      </c>
      <c r="S52" s="15">
        <v>6347.96</v>
      </c>
      <c r="U52" s="4">
        <f t="shared" si="31"/>
        <v>1747.6932746664554</v>
      </c>
      <c r="W52" s="4">
        <f t="shared" si="16"/>
        <v>4600.266725333545</v>
      </c>
      <c r="Y52" s="4">
        <f t="shared" si="17"/>
        <v>249609.6641352418</v>
      </c>
      <c r="AA52" s="15">
        <v>2513.77</v>
      </c>
      <c r="AC52" s="4">
        <f t="shared" si="32"/>
        <v>692.0803159244927</v>
      </c>
      <c r="AE52" s="4">
        <f t="shared" si="18"/>
        <v>1821.6896840755073</v>
      </c>
      <c r="AG52" s="4">
        <f t="shared" si="19"/>
        <v>98844.53808675979</v>
      </c>
      <c r="AI52" s="15">
        <v>2304.78</v>
      </c>
      <c r="AK52" s="4">
        <f t="shared" si="33"/>
        <v>336.02357091507923</v>
      </c>
      <c r="AM52" s="4">
        <f t="shared" si="20"/>
        <v>1968.756429084921</v>
      </c>
      <c r="AO52" s="4">
        <f t="shared" si="21"/>
        <v>46907.39934038115</v>
      </c>
      <c r="AQ52" s="15">
        <v>9875.87</v>
      </c>
      <c r="AS52" s="4">
        <f t="shared" si="34"/>
        <v>1439.849110326341</v>
      </c>
      <c r="AU52" s="4">
        <f t="shared" si="22"/>
        <v>8436.02088967366</v>
      </c>
      <c r="AW52" s="4">
        <f t="shared" si="23"/>
        <v>200996.5769759759</v>
      </c>
      <c r="AY52">
        <v>1468.53</v>
      </c>
      <c r="BA52" s="4">
        <f t="shared" si="35"/>
        <v>214.1042036271606</v>
      </c>
      <c r="BC52" s="4">
        <f t="shared" si="24"/>
        <v>1254.4257963728394</v>
      </c>
      <c r="BE52" s="4">
        <f t="shared" si="25"/>
        <v>29888.003822123246</v>
      </c>
      <c r="BG52" s="15">
        <v>3059.44</v>
      </c>
      <c r="BI52" s="4">
        <f t="shared" si="36"/>
        <v>446.0497028900709</v>
      </c>
      <c r="BK52" s="4">
        <f t="shared" si="26"/>
        <v>2613.390297109929</v>
      </c>
      <c r="BM52" s="4">
        <f t="shared" si="38"/>
        <v>62266.56648690038</v>
      </c>
      <c r="BO52" s="15">
        <v>2238.83</v>
      </c>
      <c r="BQ52" s="4">
        <f t="shared" si="37"/>
        <v>616.3829944538043</v>
      </c>
      <c r="BS52" s="4">
        <f t="shared" si="27"/>
        <v>1622.4470055461957</v>
      </c>
      <c r="BU52" s="4">
        <f t="shared" si="28"/>
        <v>88033.2612786435</v>
      </c>
      <c r="BW52">
        <v>11422.1</v>
      </c>
      <c r="BY52" s="4">
        <f t="shared" si="11"/>
        <v>1665.2857971081748</v>
      </c>
      <c r="CA52" s="4">
        <f t="shared" si="9"/>
        <v>9756.814202891826</v>
      </c>
      <c r="CC52" s="4">
        <f t="shared" si="10"/>
        <v>232466.57446738813</v>
      </c>
    </row>
    <row r="53" spans="1:81" ht="12.75">
      <c r="A53" s="9">
        <v>39</v>
      </c>
      <c r="C53">
        <v>3263.4</v>
      </c>
      <c r="E53" s="4">
        <f t="shared" si="29"/>
        <v>456.6222806157722</v>
      </c>
      <c r="G53" s="4">
        <f t="shared" si="12"/>
        <v>2806.777719384228</v>
      </c>
      <c r="I53" s="4">
        <f t="shared" si="13"/>
        <v>63611.00855200082</v>
      </c>
      <c r="K53" s="173">
        <v>1304.02</v>
      </c>
      <c r="M53" s="4">
        <f t="shared" si="30"/>
        <v>352.51923938809466</v>
      </c>
      <c r="N53"/>
      <c r="O53" s="4">
        <f t="shared" si="14"/>
        <v>951.5007606119053</v>
      </c>
      <c r="P53"/>
      <c r="Q53" s="4">
        <f t="shared" si="15"/>
        <v>50324.0249685655</v>
      </c>
      <c r="S53" s="15">
        <v>6347.96</v>
      </c>
      <c r="U53" s="4">
        <f t="shared" si="31"/>
        <v>1716.0664409297874</v>
      </c>
      <c r="W53" s="4">
        <f t="shared" si="16"/>
        <v>4631.893559070213</v>
      </c>
      <c r="Y53" s="4">
        <f t="shared" si="17"/>
        <v>244977.77057617158</v>
      </c>
      <c r="AA53" s="15">
        <v>2513.77</v>
      </c>
      <c r="AC53" s="4">
        <f t="shared" si="32"/>
        <v>679.5561993464735</v>
      </c>
      <c r="AE53" s="4">
        <f t="shared" si="18"/>
        <v>1834.2138006535265</v>
      </c>
      <c r="AG53" s="4">
        <f t="shared" si="19"/>
        <v>97010.32428610626</v>
      </c>
      <c r="AI53" s="15">
        <v>2304.78</v>
      </c>
      <c r="AK53" s="4">
        <f t="shared" si="33"/>
        <v>322.4883704651204</v>
      </c>
      <c r="AM53" s="4">
        <f t="shared" si="20"/>
        <v>1982.2916295348798</v>
      </c>
      <c r="AO53" s="4">
        <f t="shared" si="21"/>
        <v>44925.10771084627</v>
      </c>
      <c r="AQ53" s="15">
        <v>9875.87</v>
      </c>
      <c r="AS53" s="4">
        <f t="shared" si="34"/>
        <v>1381.8514667098343</v>
      </c>
      <c r="AU53" s="4">
        <f t="shared" si="22"/>
        <v>8494.018533290167</v>
      </c>
      <c r="AW53" s="4">
        <f t="shared" si="23"/>
        <v>192502.55844268575</v>
      </c>
      <c r="AY53">
        <v>1468.53</v>
      </c>
      <c r="BA53" s="4">
        <f t="shared" si="35"/>
        <v>205.48002627709732</v>
      </c>
      <c r="BC53" s="4">
        <f t="shared" si="24"/>
        <v>1263.0499737229027</v>
      </c>
      <c r="BE53" s="4">
        <f t="shared" si="25"/>
        <v>28624.953848400342</v>
      </c>
      <c r="BG53" s="15">
        <v>3059.44</v>
      </c>
      <c r="BI53" s="4">
        <f t="shared" si="36"/>
        <v>428.08264459744015</v>
      </c>
      <c r="BK53" s="4">
        <f t="shared" si="26"/>
        <v>2631.3573554025597</v>
      </c>
      <c r="BM53" s="4">
        <f t="shared" si="38"/>
        <v>59635.209131497824</v>
      </c>
      <c r="BO53" s="15">
        <v>2238.83</v>
      </c>
      <c r="BQ53" s="4">
        <f t="shared" si="37"/>
        <v>605.2286712906741</v>
      </c>
      <c r="BS53" s="4">
        <f t="shared" si="27"/>
        <v>1633.6013287093258</v>
      </c>
      <c r="BU53" s="4">
        <f t="shared" si="28"/>
        <v>86399.65994993418</v>
      </c>
      <c r="BW53">
        <v>11422.1</v>
      </c>
      <c r="BY53" s="4">
        <f t="shared" si="11"/>
        <v>1598.2076994632935</v>
      </c>
      <c r="CA53" s="4">
        <f t="shared" si="9"/>
        <v>9823.892300536707</v>
      </c>
      <c r="CC53" s="4">
        <f t="shared" si="10"/>
        <v>222642.68216685142</v>
      </c>
    </row>
    <row r="54" spans="1:81" ht="12.75">
      <c r="A54" s="9">
        <v>40</v>
      </c>
      <c r="C54">
        <v>3263.4</v>
      </c>
      <c r="E54" s="4">
        <f t="shared" si="29"/>
        <v>437.32568379500566</v>
      </c>
      <c r="G54" s="4">
        <f t="shared" si="12"/>
        <v>2826.0743162049944</v>
      </c>
      <c r="I54" s="4">
        <f t="shared" si="13"/>
        <v>60784.93423579583</v>
      </c>
      <c r="K54" s="173">
        <v>1304.02</v>
      </c>
      <c r="M54" s="4">
        <f t="shared" si="30"/>
        <v>345.9776716588878</v>
      </c>
      <c r="N54"/>
      <c r="O54" s="4">
        <f t="shared" si="14"/>
        <v>958.0423283411121</v>
      </c>
      <c r="P54"/>
      <c r="Q54" s="4">
        <f t="shared" si="15"/>
        <v>49365.982640224385</v>
      </c>
      <c r="S54" s="15">
        <v>6347.96</v>
      </c>
      <c r="U54" s="4">
        <f t="shared" si="31"/>
        <v>1684.2221727111796</v>
      </c>
      <c r="W54" s="4">
        <f t="shared" si="16"/>
        <v>4663.73782728882</v>
      </c>
      <c r="Y54" s="4">
        <f t="shared" si="17"/>
        <v>240314.03274888275</v>
      </c>
      <c r="AA54" s="15">
        <v>2513.77</v>
      </c>
      <c r="AC54" s="4">
        <f t="shared" si="32"/>
        <v>666.9459794669806</v>
      </c>
      <c r="AE54" s="4">
        <f t="shared" si="18"/>
        <v>1846.8240205330194</v>
      </c>
      <c r="AG54" s="4">
        <f t="shared" si="19"/>
        <v>95163.50026557324</v>
      </c>
      <c r="AI54" s="15">
        <v>2304.78</v>
      </c>
      <c r="AK54" s="4">
        <f t="shared" si="33"/>
        <v>308.8601155120681</v>
      </c>
      <c r="AM54" s="4">
        <f t="shared" si="20"/>
        <v>1995.919884487932</v>
      </c>
      <c r="AO54" s="4">
        <f t="shared" si="21"/>
        <v>42929.187826358335</v>
      </c>
      <c r="AQ54" s="15">
        <v>9875.87</v>
      </c>
      <c r="AS54" s="4">
        <f t="shared" si="34"/>
        <v>1323.4550892934647</v>
      </c>
      <c r="AU54" s="4">
        <f t="shared" si="22"/>
        <v>8552.414910706537</v>
      </c>
      <c r="AW54" s="4">
        <f t="shared" si="23"/>
        <v>183950.1435319792</v>
      </c>
      <c r="AY54">
        <v>1468.53</v>
      </c>
      <c r="BA54" s="4">
        <f t="shared" si="35"/>
        <v>196.79655770775236</v>
      </c>
      <c r="BC54" s="4">
        <f t="shared" si="24"/>
        <v>1271.7334422922477</v>
      </c>
      <c r="BE54" s="4">
        <f t="shared" si="25"/>
        <v>27353.220406108096</v>
      </c>
      <c r="BG54" s="15">
        <v>3059.44</v>
      </c>
      <c r="BI54" s="4">
        <f t="shared" si="36"/>
        <v>409.99206277904756</v>
      </c>
      <c r="BK54" s="4">
        <f t="shared" si="26"/>
        <v>2649.4479372209526</v>
      </c>
      <c r="BM54" s="4">
        <f t="shared" si="38"/>
        <v>56985.76119427687</v>
      </c>
      <c r="BO54" s="15">
        <v>2238.83</v>
      </c>
      <c r="BQ54" s="4">
        <f t="shared" si="37"/>
        <v>593.9976621557975</v>
      </c>
      <c r="BS54" s="4">
        <f t="shared" si="27"/>
        <v>1644.8323378442024</v>
      </c>
      <c r="BU54" s="4">
        <f t="shared" si="28"/>
        <v>84754.82761208998</v>
      </c>
      <c r="BW54">
        <v>11422.1</v>
      </c>
      <c r="BY54" s="4">
        <f t="shared" si="11"/>
        <v>1530.6684398971036</v>
      </c>
      <c r="CA54" s="4">
        <f t="shared" si="9"/>
        <v>9891.431560102897</v>
      </c>
      <c r="CC54" s="4">
        <f t="shared" si="10"/>
        <v>212751.2506067485</v>
      </c>
    </row>
    <row r="55" spans="1:81" ht="12.75">
      <c r="A55" s="9">
        <v>41</v>
      </c>
      <c r="C55">
        <v>3263.4</v>
      </c>
      <c r="E55" s="4">
        <f t="shared" si="29"/>
        <v>417.8964228710963</v>
      </c>
      <c r="G55" s="4">
        <f t="shared" si="12"/>
        <v>2845.503577128904</v>
      </c>
      <c r="I55" s="4">
        <f t="shared" si="13"/>
        <v>57939.430658666926</v>
      </c>
      <c r="K55" s="173">
        <v>1304.02</v>
      </c>
      <c r="M55" s="4">
        <f t="shared" si="30"/>
        <v>339.39113065154265</v>
      </c>
      <c r="N55"/>
      <c r="O55" s="4">
        <f t="shared" si="14"/>
        <v>964.6288693484573</v>
      </c>
      <c r="P55"/>
      <c r="Q55" s="4">
        <f t="shared" si="15"/>
        <v>48401.353770875925</v>
      </c>
      <c r="S55" s="15">
        <v>6347.96</v>
      </c>
      <c r="U55" s="4">
        <f t="shared" si="31"/>
        <v>1652.158975148569</v>
      </c>
      <c r="W55" s="4">
        <f t="shared" si="16"/>
        <v>4695.801024851431</v>
      </c>
      <c r="Y55" s="4">
        <f t="shared" si="17"/>
        <v>235618.23172403133</v>
      </c>
      <c r="AA55" s="15">
        <v>2513.77</v>
      </c>
      <c r="AC55" s="4">
        <f t="shared" si="32"/>
        <v>654.249064325816</v>
      </c>
      <c r="AE55" s="4">
        <f t="shared" si="18"/>
        <v>1859.5209356741839</v>
      </c>
      <c r="AG55" s="4">
        <f t="shared" si="19"/>
        <v>93303.97932989906</v>
      </c>
      <c r="AI55" s="15">
        <v>2304.78</v>
      </c>
      <c r="AK55" s="4">
        <f t="shared" si="33"/>
        <v>295.1381663062136</v>
      </c>
      <c r="AM55" s="4">
        <f t="shared" si="20"/>
        <v>2009.6418336937866</v>
      </c>
      <c r="AO55" s="4">
        <f t="shared" si="21"/>
        <v>40919.54599266455</v>
      </c>
      <c r="AQ55" s="15">
        <v>9875.87</v>
      </c>
      <c r="AS55" s="4">
        <f t="shared" si="34"/>
        <v>1264.6572367823571</v>
      </c>
      <c r="AU55" s="4">
        <f t="shared" si="22"/>
        <v>8611.212763217643</v>
      </c>
      <c r="AW55" s="4">
        <f t="shared" si="23"/>
        <v>175338.93076876155</v>
      </c>
      <c r="AY55">
        <v>1468.53</v>
      </c>
      <c r="BA55" s="4">
        <f t="shared" si="35"/>
        <v>188.05339029199317</v>
      </c>
      <c r="BC55" s="4">
        <f t="shared" si="24"/>
        <v>1280.476609708007</v>
      </c>
      <c r="BE55" s="4">
        <f t="shared" si="25"/>
        <v>26072.74379640009</v>
      </c>
      <c r="BG55" s="15">
        <v>3059.44</v>
      </c>
      <c r="BI55" s="4">
        <f t="shared" si="36"/>
        <v>391.77710821065347</v>
      </c>
      <c r="BK55" s="4">
        <f t="shared" si="26"/>
        <v>2667.6628917893468</v>
      </c>
      <c r="BM55" s="4">
        <f t="shared" si="38"/>
        <v>54318.098302487524</v>
      </c>
      <c r="BO55" s="15">
        <v>2238.83</v>
      </c>
      <c r="BQ55" s="4">
        <f t="shared" si="37"/>
        <v>582.6894398331186</v>
      </c>
      <c r="BS55" s="4">
        <f t="shared" si="27"/>
        <v>1656.1405601668812</v>
      </c>
      <c r="BU55" s="4">
        <f t="shared" si="28"/>
        <v>83098.6870519231</v>
      </c>
      <c r="BW55">
        <v>11422.1</v>
      </c>
      <c r="BY55" s="4">
        <f t="shared" si="11"/>
        <v>1462.664847921396</v>
      </c>
      <c r="CA55" s="4">
        <f t="shared" si="9"/>
        <v>9959.435152078604</v>
      </c>
      <c r="CC55" s="4">
        <f t="shared" si="10"/>
        <v>202791.8154546699</v>
      </c>
    </row>
    <row r="56" spans="1:81" ht="12.75">
      <c r="A56" s="9">
        <v>42</v>
      </c>
      <c r="C56">
        <v>3263.4</v>
      </c>
      <c r="E56" s="4">
        <f t="shared" si="29"/>
        <v>398.33358577833513</v>
      </c>
      <c r="G56" s="4">
        <f t="shared" si="12"/>
        <v>2865.066414221665</v>
      </c>
      <c r="I56" s="4">
        <f t="shared" si="13"/>
        <v>55074.36424444526</v>
      </c>
      <c r="K56" s="173">
        <v>1304.02</v>
      </c>
      <c r="M56" s="4">
        <f t="shared" si="30"/>
        <v>332.759307174772</v>
      </c>
      <c r="N56"/>
      <c r="O56" s="4">
        <f t="shared" si="14"/>
        <v>971.260692825228</v>
      </c>
      <c r="P56"/>
      <c r="Q56" s="4">
        <f t="shared" si="15"/>
        <v>47430.0930780507</v>
      </c>
      <c r="S56" s="15">
        <v>6347.96</v>
      </c>
      <c r="U56" s="4">
        <f t="shared" si="31"/>
        <v>1619.8753431027153</v>
      </c>
      <c r="W56" s="4">
        <f t="shared" si="16"/>
        <v>4728.084656897285</v>
      </c>
      <c r="Y56" s="4">
        <f t="shared" si="17"/>
        <v>230890.14706713404</v>
      </c>
      <c r="AA56" s="15">
        <v>2513.77</v>
      </c>
      <c r="AC56" s="4">
        <f t="shared" si="32"/>
        <v>641.464857893056</v>
      </c>
      <c r="AE56" s="4">
        <f t="shared" si="18"/>
        <v>1872.305142106944</v>
      </c>
      <c r="AG56" s="4">
        <f t="shared" si="19"/>
        <v>91431.67418779212</v>
      </c>
      <c r="AI56" s="15">
        <v>2304.78</v>
      </c>
      <c r="AK56" s="4">
        <f t="shared" si="33"/>
        <v>281.3218786995688</v>
      </c>
      <c r="AM56" s="4">
        <f t="shared" si="20"/>
        <v>2023.4581213004315</v>
      </c>
      <c r="AO56" s="4">
        <f t="shared" si="21"/>
        <v>38896.087871364114</v>
      </c>
      <c r="AQ56" s="15">
        <v>9875.87</v>
      </c>
      <c r="AS56" s="4">
        <f t="shared" si="34"/>
        <v>1205.4551490352358</v>
      </c>
      <c r="AU56" s="4">
        <f t="shared" si="22"/>
        <v>8670.414850964766</v>
      </c>
      <c r="AW56" s="4">
        <f t="shared" si="23"/>
        <v>166668.5159177968</v>
      </c>
      <c r="AY56">
        <v>1468.53</v>
      </c>
      <c r="BA56" s="4">
        <f t="shared" si="35"/>
        <v>179.25011360025061</v>
      </c>
      <c r="BC56" s="4">
        <f t="shared" si="24"/>
        <v>1289.2798863997493</v>
      </c>
      <c r="BE56" s="4">
        <f t="shared" si="25"/>
        <v>24783.46391000034</v>
      </c>
      <c r="BG56" s="15">
        <v>3059.44</v>
      </c>
      <c r="BI56" s="4">
        <f t="shared" si="36"/>
        <v>373.4369258296017</v>
      </c>
      <c r="BK56" s="4">
        <f t="shared" si="26"/>
        <v>2686.0030741703986</v>
      </c>
      <c r="BM56" s="4">
        <f t="shared" si="38"/>
        <v>51632.09522831713</v>
      </c>
      <c r="BO56" s="15">
        <v>2238.83</v>
      </c>
      <c r="BQ56" s="4">
        <f t="shared" si="37"/>
        <v>571.3034734819713</v>
      </c>
      <c r="BS56" s="4">
        <f t="shared" si="27"/>
        <v>1667.5265265180287</v>
      </c>
      <c r="BU56" s="4">
        <f t="shared" si="28"/>
        <v>81431.16052540507</v>
      </c>
      <c r="BW56">
        <v>11422.1</v>
      </c>
      <c r="BY56" s="4">
        <f t="shared" si="11"/>
        <v>1394.1937312508555</v>
      </c>
      <c r="CA56" s="4">
        <f t="shared" si="9"/>
        <v>10027.906268749144</v>
      </c>
      <c r="CC56" s="4">
        <f t="shared" si="10"/>
        <v>192763.90918592075</v>
      </c>
    </row>
    <row r="57" spans="1:81" ht="12.75">
      <c r="A57" s="9">
        <v>43</v>
      </c>
      <c r="C57">
        <v>3263.4</v>
      </c>
      <c r="E57" s="4">
        <f t="shared" si="29"/>
        <v>378.6362541805612</v>
      </c>
      <c r="G57" s="4">
        <f t="shared" si="12"/>
        <v>2884.763745819439</v>
      </c>
      <c r="I57" s="4">
        <f t="shared" si="13"/>
        <v>52189.60049862583</v>
      </c>
      <c r="K57" s="173">
        <v>1304.02</v>
      </c>
      <c r="M57" s="4">
        <f t="shared" si="30"/>
        <v>326.0818899115985</v>
      </c>
      <c r="N57"/>
      <c r="O57" s="4">
        <f t="shared" si="14"/>
        <v>977.9381100884015</v>
      </c>
      <c r="P57"/>
      <c r="Q57" s="4">
        <f t="shared" si="15"/>
        <v>46452.1549679623</v>
      </c>
      <c r="S57" s="15">
        <v>6347.96</v>
      </c>
      <c r="U57" s="4">
        <f t="shared" si="31"/>
        <v>1587.3697610865465</v>
      </c>
      <c r="W57" s="4">
        <f t="shared" si="16"/>
        <v>4760.5902389134535</v>
      </c>
      <c r="Y57" s="4">
        <f t="shared" si="17"/>
        <v>226129.55682822058</v>
      </c>
      <c r="AA57" s="15">
        <v>2513.77</v>
      </c>
      <c r="AC57" s="4">
        <f t="shared" si="32"/>
        <v>628.5927600410708</v>
      </c>
      <c r="AE57" s="4">
        <f t="shared" si="18"/>
        <v>1885.177239958929</v>
      </c>
      <c r="AG57" s="4">
        <f t="shared" si="19"/>
        <v>89546.49694783319</v>
      </c>
      <c r="AI57" s="15">
        <v>2304.78</v>
      </c>
      <c r="AK57" s="4">
        <f t="shared" si="33"/>
        <v>267.4106041156283</v>
      </c>
      <c r="AM57" s="4">
        <f t="shared" si="20"/>
        <v>2037.369395884372</v>
      </c>
      <c r="AO57" s="4">
        <f t="shared" si="21"/>
        <v>36858.71847547974</v>
      </c>
      <c r="AQ57" s="15">
        <v>9875.87</v>
      </c>
      <c r="AS57" s="4">
        <f t="shared" si="34"/>
        <v>1145.846046934853</v>
      </c>
      <c r="AU57" s="4">
        <f t="shared" si="22"/>
        <v>8730.023953065149</v>
      </c>
      <c r="AW57" s="4">
        <f t="shared" si="23"/>
        <v>157938.49196473163</v>
      </c>
      <c r="AY57">
        <v>1468.53</v>
      </c>
      <c r="BA57" s="4">
        <f t="shared" si="35"/>
        <v>170.38631438125233</v>
      </c>
      <c r="BC57" s="4">
        <f t="shared" si="24"/>
        <v>1298.1436856187477</v>
      </c>
      <c r="BE57" s="4">
        <f t="shared" si="25"/>
        <v>23485.320224381594</v>
      </c>
      <c r="BG57" s="15">
        <v>3059.44</v>
      </c>
      <c r="BI57" s="4">
        <f t="shared" si="36"/>
        <v>354.97065469468026</v>
      </c>
      <c r="BK57" s="4">
        <f t="shared" si="26"/>
        <v>2704.4693453053196</v>
      </c>
      <c r="BM57" s="4">
        <f t="shared" si="38"/>
        <v>48927.62588301181</v>
      </c>
      <c r="BO57" s="15">
        <v>2238.83</v>
      </c>
      <c r="BQ57" s="4">
        <f t="shared" si="37"/>
        <v>559.8392286121598</v>
      </c>
      <c r="BS57" s="4">
        <f t="shared" si="27"/>
        <v>1678.9907713878401</v>
      </c>
      <c r="BU57" s="4">
        <f t="shared" si="28"/>
        <v>79752.16975401723</v>
      </c>
      <c r="BW57">
        <v>11422.1</v>
      </c>
      <c r="BY57" s="4">
        <f t="shared" si="11"/>
        <v>1325.2518756532052</v>
      </c>
      <c r="CA57" s="4">
        <f t="shared" si="9"/>
        <v>10096.848124346796</v>
      </c>
      <c r="CC57" s="4">
        <f t="shared" si="10"/>
        <v>182667.06106157397</v>
      </c>
    </row>
    <row r="58" spans="1:81" ht="12.75">
      <c r="A58" s="9">
        <v>44</v>
      </c>
      <c r="C58">
        <v>3263.4</v>
      </c>
      <c r="E58" s="4">
        <f t="shared" si="29"/>
        <v>358.8035034280526</v>
      </c>
      <c r="G58" s="4">
        <f t="shared" si="12"/>
        <v>2904.5964965719477</v>
      </c>
      <c r="I58" s="4">
        <f t="shared" si="13"/>
        <v>49285.00400205388</v>
      </c>
      <c r="K58" s="173">
        <v>1304.02</v>
      </c>
      <c r="M58" s="4">
        <f t="shared" si="30"/>
        <v>319.35856540474083</v>
      </c>
      <c r="N58"/>
      <c r="O58" s="4">
        <f t="shared" si="14"/>
        <v>984.6614345952592</v>
      </c>
      <c r="P58"/>
      <c r="Q58" s="4">
        <f t="shared" si="15"/>
        <v>45467.49353336704</v>
      </c>
      <c r="S58" s="15">
        <v>6347.96</v>
      </c>
      <c r="U58" s="4">
        <f t="shared" si="31"/>
        <v>1554.6407031940164</v>
      </c>
      <c r="W58" s="4">
        <f t="shared" si="16"/>
        <v>4793.319296805984</v>
      </c>
      <c r="Y58" s="4">
        <f t="shared" si="17"/>
        <v>221336.2375314146</v>
      </c>
      <c r="AA58" s="15">
        <v>2513.77</v>
      </c>
      <c r="AC58" s="4">
        <f t="shared" si="32"/>
        <v>615.6321665163532</v>
      </c>
      <c r="AE58" s="4">
        <f t="shared" si="18"/>
        <v>1898.1378334836468</v>
      </c>
      <c r="AG58" s="4">
        <f t="shared" si="19"/>
        <v>87648.35911434954</v>
      </c>
      <c r="AI58" s="15">
        <v>2304.78</v>
      </c>
      <c r="AK58" s="4">
        <f t="shared" si="33"/>
        <v>253.40368951892322</v>
      </c>
      <c r="AM58" s="4">
        <f t="shared" si="20"/>
        <v>2051.376310481077</v>
      </c>
      <c r="AO58" s="4">
        <f t="shared" si="21"/>
        <v>34807.34216499866</v>
      </c>
      <c r="AQ58" s="15">
        <v>9875.87</v>
      </c>
      <c r="AS58" s="4">
        <f t="shared" si="34"/>
        <v>1085.82713225753</v>
      </c>
      <c r="AU58" s="4">
        <f t="shared" si="22"/>
        <v>8790.042867742472</v>
      </c>
      <c r="AW58" s="4">
        <f t="shared" si="23"/>
        <v>149148.44909698915</v>
      </c>
      <c r="AY58">
        <v>1468.53</v>
      </c>
      <c r="BA58" s="4">
        <f t="shared" si="35"/>
        <v>161.46157654262345</v>
      </c>
      <c r="BC58" s="4">
        <f t="shared" si="24"/>
        <v>1307.0684234573764</v>
      </c>
      <c r="BE58" s="4">
        <f t="shared" si="25"/>
        <v>22178.25180092422</v>
      </c>
      <c r="BG58" s="15">
        <v>3059.44</v>
      </c>
      <c r="BI58" s="4">
        <f t="shared" si="36"/>
        <v>336.3774279457062</v>
      </c>
      <c r="BK58" s="4">
        <f t="shared" si="26"/>
        <v>2723.062572054294</v>
      </c>
      <c r="BM58" s="4">
        <f t="shared" si="38"/>
        <v>46204.563310957514</v>
      </c>
      <c r="BO58" s="15">
        <v>2238.83</v>
      </c>
      <c r="BQ58" s="4">
        <f t="shared" si="37"/>
        <v>548.2961670588685</v>
      </c>
      <c r="BS58" s="4">
        <f t="shared" si="27"/>
        <v>1690.5338329411315</v>
      </c>
      <c r="BU58" s="4">
        <f t="shared" si="28"/>
        <v>78061.6359210761</v>
      </c>
      <c r="BW58">
        <v>11422.1</v>
      </c>
      <c r="BY58" s="4">
        <f t="shared" si="11"/>
        <v>1255.8360447983212</v>
      </c>
      <c r="CA58" s="4">
        <f t="shared" si="9"/>
        <v>10166.263955201679</v>
      </c>
      <c r="CC58" s="4">
        <f t="shared" si="10"/>
        <v>172500.79710637228</v>
      </c>
    </row>
    <row r="59" spans="1:81" ht="12.75">
      <c r="A59" s="9">
        <v>45</v>
      </c>
      <c r="C59">
        <v>3263.4</v>
      </c>
      <c r="E59" s="4">
        <f t="shared" si="29"/>
        <v>338.8344025141204</v>
      </c>
      <c r="G59" s="4">
        <f t="shared" si="12"/>
        <v>2924.5655974858796</v>
      </c>
      <c r="I59" s="4">
        <f t="shared" si="13"/>
        <v>46360.438404568</v>
      </c>
      <c r="K59" s="173">
        <v>1304.02</v>
      </c>
      <c r="M59" s="4">
        <f t="shared" si="30"/>
        <v>312.5890180418984</v>
      </c>
      <c r="N59"/>
      <c r="O59" s="4">
        <f t="shared" si="14"/>
        <v>991.4309819581016</v>
      </c>
      <c r="P59"/>
      <c r="Q59" s="4">
        <f t="shared" si="15"/>
        <v>44476.06255140893</v>
      </c>
      <c r="S59" s="15">
        <v>6347.96</v>
      </c>
      <c r="U59" s="4">
        <f t="shared" si="31"/>
        <v>1521.6866330284754</v>
      </c>
      <c r="W59" s="4">
        <f t="shared" si="16"/>
        <v>4826.273366971524</v>
      </c>
      <c r="Y59" s="4">
        <f t="shared" si="17"/>
        <v>216509.96416444308</v>
      </c>
      <c r="AA59" s="15">
        <v>2513.77</v>
      </c>
      <c r="AC59" s="4">
        <f t="shared" si="32"/>
        <v>602.5824689111531</v>
      </c>
      <c r="AE59" s="4">
        <f t="shared" si="18"/>
        <v>1911.1875310888468</v>
      </c>
      <c r="AG59" s="4">
        <f t="shared" si="19"/>
        <v>85737.1715832607</v>
      </c>
      <c r="AI59" s="15">
        <v>2304.78</v>
      </c>
      <c r="AK59" s="4">
        <f t="shared" si="33"/>
        <v>239.30047738436582</v>
      </c>
      <c r="AM59" s="4">
        <f t="shared" si="20"/>
        <v>2065.4795226156343</v>
      </c>
      <c r="AO59" s="4">
        <f t="shared" si="21"/>
        <v>32741.86264238303</v>
      </c>
      <c r="AQ59" s="15">
        <v>9875.87</v>
      </c>
      <c r="AS59" s="4">
        <f t="shared" si="34"/>
        <v>1025.3955875418003</v>
      </c>
      <c r="AU59" s="4">
        <f t="shared" si="22"/>
        <v>8850.474412458201</v>
      </c>
      <c r="AW59" s="4">
        <f t="shared" si="23"/>
        <v>140297.97468453096</v>
      </c>
      <c r="AY59">
        <v>1468.53</v>
      </c>
      <c r="BA59" s="4">
        <f t="shared" si="35"/>
        <v>152.475481131354</v>
      </c>
      <c r="BC59" s="4">
        <f t="shared" si="24"/>
        <v>1316.054518868646</v>
      </c>
      <c r="BE59" s="4">
        <f t="shared" si="25"/>
        <v>20862.197282055575</v>
      </c>
      <c r="BG59" s="15">
        <v>3059.44</v>
      </c>
      <c r="BI59" s="4">
        <f t="shared" si="36"/>
        <v>317.6563727628329</v>
      </c>
      <c r="BK59" s="4">
        <f t="shared" si="26"/>
        <v>2741.783627237167</v>
      </c>
      <c r="BM59" s="4">
        <f t="shared" si="38"/>
        <v>43462.77968372035</v>
      </c>
      <c r="BO59" s="15">
        <v>2238.83</v>
      </c>
      <c r="BQ59" s="4">
        <f t="shared" si="37"/>
        <v>536.6737469573982</v>
      </c>
      <c r="BS59" s="4">
        <f t="shared" si="27"/>
        <v>1702.1562530426017</v>
      </c>
      <c r="BU59" s="4">
        <f t="shared" si="28"/>
        <v>76359.4796680335</v>
      </c>
      <c r="BW59">
        <v>11422.1</v>
      </c>
      <c r="BY59" s="4">
        <f t="shared" si="11"/>
        <v>1185.9429801063095</v>
      </c>
      <c r="CA59" s="4">
        <f t="shared" si="9"/>
        <v>10236.157019893692</v>
      </c>
      <c r="CC59" s="4">
        <f t="shared" si="10"/>
        <v>162264.64008647858</v>
      </c>
    </row>
    <row r="60" spans="1:81" ht="12.75">
      <c r="A60" s="9">
        <v>46</v>
      </c>
      <c r="C60">
        <v>3263.4</v>
      </c>
      <c r="E60" s="4">
        <f t="shared" si="29"/>
        <v>318.728014031405</v>
      </c>
      <c r="G60" s="4">
        <f t="shared" si="12"/>
        <v>2944.671985968595</v>
      </c>
      <c r="I60" s="4">
        <f t="shared" si="13"/>
        <v>43415.7664185994</v>
      </c>
      <c r="K60" s="173">
        <v>1304.02</v>
      </c>
      <c r="M60" s="4">
        <f t="shared" si="30"/>
        <v>305.77293004093644</v>
      </c>
      <c r="N60"/>
      <c r="O60" s="4">
        <f t="shared" si="14"/>
        <v>998.2470699590635</v>
      </c>
      <c r="P60"/>
      <c r="Q60" s="4">
        <f t="shared" si="15"/>
        <v>43477.81548144987</v>
      </c>
      <c r="S60" s="15">
        <v>6347.96</v>
      </c>
      <c r="U60" s="4">
        <f t="shared" si="31"/>
        <v>1488.5060036305463</v>
      </c>
      <c r="W60" s="4">
        <f t="shared" si="16"/>
        <v>4859.453996369453</v>
      </c>
      <c r="Y60" s="4">
        <f t="shared" si="17"/>
        <v>211650.51016807364</v>
      </c>
      <c r="AA60" s="15">
        <v>2513.77</v>
      </c>
      <c r="AC60" s="4">
        <f t="shared" si="32"/>
        <v>589.4430546349173</v>
      </c>
      <c r="AE60" s="4">
        <f t="shared" si="18"/>
        <v>1924.3269453650828</v>
      </c>
      <c r="AG60" s="4">
        <f t="shared" si="19"/>
        <v>83812.84463789561</v>
      </c>
      <c r="AI60" s="15">
        <v>2304.78</v>
      </c>
      <c r="AK60" s="4">
        <f t="shared" si="33"/>
        <v>225.10030566638332</v>
      </c>
      <c r="AM60" s="4">
        <f t="shared" si="20"/>
        <v>2079.6796943336167</v>
      </c>
      <c r="AO60" s="4">
        <f t="shared" si="21"/>
        <v>30662.182948049413</v>
      </c>
      <c r="AQ60" s="15">
        <v>9875.87</v>
      </c>
      <c r="AS60" s="4">
        <f t="shared" si="34"/>
        <v>964.5485759561503</v>
      </c>
      <c r="AU60" s="4">
        <f t="shared" si="22"/>
        <v>8911.32142404385</v>
      </c>
      <c r="AW60" s="4">
        <f t="shared" si="23"/>
        <v>131386.6532604871</v>
      </c>
      <c r="AY60">
        <v>1468.53</v>
      </c>
      <c r="BA60" s="4">
        <f t="shared" si="35"/>
        <v>143.42760631413208</v>
      </c>
      <c r="BC60" s="4">
        <f t="shared" si="24"/>
        <v>1325.1023936858678</v>
      </c>
      <c r="BE60" s="4">
        <f t="shared" si="25"/>
        <v>19537.094888369706</v>
      </c>
      <c r="BG60" s="15">
        <v>3059.44</v>
      </c>
      <c r="BI60" s="4">
        <f t="shared" si="36"/>
        <v>298.8066103255774</v>
      </c>
      <c r="BK60" s="4">
        <f t="shared" si="26"/>
        <v>2760.6333896744227</v>
      </c>
      <c r="BM60" s="4">
        <f t="shared" si="38"/>
        <v>40702.146294045924</v>
      </c>
      <c r="BO60" s="15">
        <v>2238.83</v>
      </c>
      <c r="BQ60" s="4">
        <f t="shared" si="37"/>
        <v>524.9714227177303</v>
      </c>
      <c r="BS60" s="4">
        <f t="shared" si="27"/>
        <v>1713.8585772822696</v>
      </c>
      <c r="BU60" s="4">
        <f t="shared" si="28"/>
        <v>74645.62109075123</v>
      </c>
      <c r="BW60">
        <v>11422.1</v>
      </c>
      <c r="BY60" s="4">
        <f t="shared" si="11"/>
        <v>1115.5694005945402</v>
      </c>
      <c r="CA60" s="4">
        <f t="shared" si="9"/>
        <v>10306.53059940546</v>
      </c>
      <c r="CC60" s="4">
        <f t="shared" si="10"/>
        <v>151958.10948707312</v>
      </c>
    </row>
    <row r="61" spans="1:81" ht="12.75">
      <c r="A61" s="9">
        <v>47</v>
      </c>
      <c r="C61">
        <v>3263.4</v>
      </c>
      <c r="E61" s="4">
        <f t="shared" si="29"/>
        <v>298.4833941278709</v>
      </c>
      <c r="G61" s="4">
        <f t="shared" si="12"/>
        <v>2964.9166058721294</v>
      </c>
      <c r="I61" s="4">
        <f t="shared" si="13"/>
        <v>40450.84981272727</v>
      </c>
      <c r="K61" s="173">
        <v>1304.02</v>
      </c>
      <c r="M61" s="4">
        <f t="shared" si="30"/>
        <v>298.90998143496785</v>
      </c>
      <c r="N61"/>
      <c r="O61" s="4">
        <f t="shared" si="14"/>
        <v>1005.1100185650321</v>
      </c>
      <c r="P61"/>
      <c r="Q61" s="4">
        <f t="shared" si="15"/>
        <v>42472.70546288484</v>
      </c>
      <c r="S61" s="15">
        <v>6347.96</v>
      </c>
      <c r="U61" s="4">
        <f t="shared" si="31"/>
        <v>1455.0972574055063</v>
      </c>
      <c r="W61" s="4">
        <f t="shared" si="16"/>
        <v>4892.862742594494</v>
      </c>
      <c r="Y61" s="4">
        <f t="shared" si="17"/>
        <v>206757.64742547914</v>
      </c>
      <c r="AA61" s="15">
        <v>2513.77</v>
      </c>
      <c r="AC61" s="4">
        <f t="shared" si="32"/>
        <v>576.2133068855323</v>
      </c>
      <c r="AE61" s="4">
        <f t="shared" si="18"/>
        <v>1937.5566931144676</v>
      </c>
      <c r="AG61" s="4">
        <f t="shared" si="19"/>
        <v>81875.28794478114</v>
      </c>
      <c r="AI61" s="15">
        <v>2304.78</v>
      </c>
      <c r="AK61" s="4">
        <f t="shared" si="33"/>
        <v>210.8025077678397</v>
      </c>
      <c r="AM61" s="4">
        <f t="shared" si="20"/>
        <v>2093.9774922321603</v>
      </c>
      <c r="AO61" s="4">
        <f t="shared" si="21"/>
        <v>28568.205455817253</v>
      </c>
      <c r="AQ61" s="15">
        <v>9875.87</v>
      </c>
      <c r="AS61" s="4">
        <f t="shared" si="34"/>
        <v>903.2832411658488</v>
      </c>
      <c r="AU61" s="4">
        <f t="shared" si="22"/>
        <v>8972.586758834152</v>
      </c>
      <c r="AW61" s="4">
        <f t="shared" si="23"/>
        <v>122414.06650165295</v>
      </c>
      <c r="AY61">
        <v>1468.53</v>
      </c>
      <c r="BA61" s="4">
        <f t="shared" si="35"/>
        <v>134.31752735754174</v>
      </c>
      <c r="BC61" s="4">
        <f t="shared" si="24"/>
        <v>1334.2124726424581</v>
      </c>
      <c r="BE61" s="4">
        <f t="shared" si="25"/>
        <v>18202.882415727247</v>
      </c>
      <c r="BG61" s="15">
        <v>3059.44</v>
      </c>
      <c r="BI61" s="4">
        <f t="shared" si="36"/>
        <v>279.8272557715657</v>
      </c>
      <c r="BK61" s="4">
        <f t="shared" si="26"/>
        <v>2779.612744228434</v>
      </c>
      <c r="BM61" s="4">
        <f t="shared" si="38"/>
        <v>37922.53354981749</v>
      </c>
      <c r="BO61" s="15">
        <v>2238.83</v>
      </c>
      <c r="BQ61" s="4">
        <f t="shared" si="37"/>
        <v>513.1886449989147</v>
      </c>
      <c r="BS61" s="4">
        <f t="shared" si="27"/>
        <v>1725.6413550010852</v>
      </c>
      <c r="BU61" s="4">
        <f t="shared" si="28"/>
        <v>72919.97973575014</v>
      </c>
      <c r="BW61">
        <v>11422.1</v>
      </c>
      <c r="BY61" s="4">
        <f t="shared" si="11"/>
        <v>1044.7120027236276</v>
      </c>
      <c r="CA61" s="4">
        <f t="shared" si="9"/>
        <v>10377.387997276373</v>
      </c>
      <c r="CC61" s="4">
        <f t="shared" si="10"/>
        <v>141580.72148979674</v>
      </c>
    </row>
    <row r="62" spans="1:81" ht="12.75">
      <c r="A62" s="9">
        <v>48</v>
      </c>
      <c r="C62">
        <v>3263.4</v>
      </c>
      <c r="E62" s="4">
        <f t="shared" si="29"/>
        <v>278.09959246249997</v>
      </c>
      <c r="G62" s="4">
        <f t="shared" si="12"/>
        <v>2985.3004075375</v>
      </c>
      <c r="I62" s="4">
        <f t="shared" si="13"/>
        <v>37465.54940518977</v>
      </c>
      <c r="K62" s="173">
        <v>1304.02</v>
      </c>
      <c r="M62" s="4">
        <f t="shared" si="30"/>
        <v>291.9998500573333</v>
      </c>
      <c r="N62"/>
      <c r="O62" s="4">
        <f t="shared" si="14"/>
        <v>1012.0201499426666</v>
      </c>
      <c r="P62"/>
      <c r="Q62" s="4">
        <f t="shared" si="15"/>
        <v>41460.68531294217</v>
      </c>
      <c r="S62" s="15">
        <v>6347.96</v>
      </c>
      <c r="U62" s="4">
        <f t="shared" si="31"/>
        <v>1421.4588260501691</v>
      </c>
      <c r="W62" s="4">
        <f t="shared" si="16"/>
        <v>4926.501173949831</v>
      </c>
      <c r="Y62" s="4">
        <f t="shared" si="17"/>
        <v>201831.1462515293</v>
      </c>
      <c r="AA62" s="15">
        <v>2513.77</v>
      </c>
      <c r="AC62" s="4">
        <f t="shared" si="32"/>
        <v>562.8926046203703</v>
      </c>
      <c r="AE62" s="4">
        <f t="shared" si="18"/>
        <v>1950.8773953796297</v>
      </c>
      <c r="AG62" s="4">
        <f t="shared" si="19"/>
        <v>79924.41054940151</v>
      </c>
      <c r="AI62" s="15">
        <v>2304.78</v>
      </c>
      <c r="AK62" s="4">
        <f t="shared" si="33"/>
        <v>196.4064125087436</v>
      </c>
      <c r="AM62" s="4">
        <f t="shared" si="20"/>
        <v>2108.373587491257</v>
      </c>
      <c r="AO62" s="4">
        <f t="shared" si="21"/>
        <v>26459.831868325997</v>
      </c>
      <c r="AQ62" s="15">
        <v>9875.87</v>
      </c>
      <c r="AS62" s="4">
        <f t="shared" si="34"/>
        <v>841.596707198864</v>
      </c>
      <c r="AU62" s="4">
        <f t="shared" si="22"/>
        <v>9034.273292801137</v>
      </c>
      <c r="AW62" s="4">
        <f t="shared" si="23"/>
        <v>113379.79320885181</v>
      </c>
      <c r="AY62">
        <v>1468.53</v>
      </c>
      <c r="BA62" s="4">
        <f t="shared" si="35"/>
        <v>125.14481660812483</v>
      </c>
      <c r="BC62" s="4">
        <f t="shared" si="24"/>
        <v>1343.3851833918752</v>
      </c>
      <c r="BE62" s="4">
        <f t="shared" si="25"/>
        <v>16859.497232335372</v>
      </c>
      <c r="BG62" s="15">
        <v>3059.44</v>
      </c>
      <c r="BI62" s="4">
        <f t="shared" si="36"/>
        <v>260.71741815499524</v>
      </c>
      <c r="BK62" s="4">
        <f t="shared" si="26"/>
        <v>2798.7225818450047</v>
      </c>
      <c r="BM62" s="4">
        <f t="shared" si="38"/>
        <v>35123.81096797249</v>
      </c>
      <c r="BO62" s="15">
        <v>2238.83</v>
      </c>
      <c r="BQ62" s="4">
        <f t="shared" si="37"/>
        <v>501.3248606832822</v>
      </c>
      <c r="BS62" s="4">
        <f t="shared" si="27"/>
        <v>1737.5051393167178</v>
      </c>
      <c r="BU62" s="4">
        <f t="shared" si="28"/>
        <v>71182.47459643341</v>
      </c>
      <c r="BW62">
        <v>11422.1</v>
      </c>
      <c r="BY62" s="4">
        <f t="shared" si="11"/>
        <v>973.3674602423525</v>
      </c>
      <c r="CA62" s="4">
        <f t="shared" si="9"/>
        <v>10448.732539757648</v>
      </c>
      <c r="CC62" s="4">
        <f t="shared" si="10"/>
        <v>131131.9889500391</v>
      </c>
    </row>
    <row r="63" spans="1:81" ht="12.75">
      <c r="A63" s="9">
        <v>49</v>
      </c>
      <c r="C63">
        <v>3263.4</v>
      </c>
      <c r="E63" s="4">
        <f t="shared" si="29"/>
        <v>257.5756521606797</v>
      </c>
      <c r="G63" s="4">
        <f t="shared" si="12"/>
        <v>3005.8243478393206</v>
      </c>
      <c r="I63" s="4">
        <f t="shared" si="13"/>
        <v>34459.72505735045</v>
      </c>
      <c r="K63" s="173">
        <v>1304.02</v>
      </c>
      <c r="M63" s="4">
        <f t="shared" si="30"/>
        <v>285.04221152647744</v>
      </c>
      <c r="N63"/>
      <c r="O63" s="4">
        <f t="shared" si="14"/>
        <v>1018.9777884735225</v>
      </c>
      <c r="P63"/>
      <c r="Q63" s="4">
        <f t="shared" si="15"/>
        <v>40441.70752446865</v>
      </c>
      <c r="S63" s="15">
        <v>6347.96</v>
      </c>
      <c r="U63" s="4">
        <f t="shared" si="31"/>
        <v>1387.589130479264</v>
      </c>
      <c r="W63" s="4">
        <f t="shared" si="16"/>
        <v>4960.370869520736</v>
      </c>
      <c r="Y63" s="4">
        <f t="shared" si="17"/>
        <v>196870.77538200858</v>
      </c>
      <c r="AA63" s="15">
        <v>2513.77</v>
      </c>
      <c r="AC63" s="4">
        <f t="shared" si="32"/>
        <v>549.4803225271354</v>
      </c>
      <c r="AE63" s="4">
        <f t="shared" si="18"/>
        <v>1964.2896774728647</v>
      </c>
      <c r="AG63" s="4">
        <f t="shared" si="19"/>
        <v>77960.12087192865</v>
      </c>
      <c r="AI63" s="15">
        <v>2304.78</v>
      </c>
      <c r="AK63" s="4">
        <f t="shared" si="33"/>
        <v>181.91134409474122</v>
      </c>
      <c r="AM63" s="4">
        <f t="shared" si="20"/>
        <v>2122.868655905259</v>
      </c>
      <c r="AO63" s="4">
        <f t="shared" si="21"/>
        <v>24336.96321242074</v>
      </c>
      <c r="AQ63" s="15">
        <v>9875.87</v>
      </c>
      <c r="AS63" s="4">
        <f t="shared" si="34"/>
        <v>779.4860783108562</v>
      </c>
      <c r="AU63" s="4">
        <f t="shared" si="22"/>
        <v>9096.383921689145</v>
      </c>
      <c r="AW63" s="4">
        <f t="shared" si="23"/>
        <v>104283.40928716266</v>
      </c>
      <c r="AY63">
        <v>1468.53</v>
      </c>
      <c r="BA63" s="4">
        <f t="shared" si="35"/>
        <v>115.90904347230568</v>
      </c>
      <c r="BC63" s="4">
        <f t="shared" si="24"/>
        <v>1352.6209565276943</v>
      </c>
      <c r="BE63" s="4">
        <f t="shared" si="25"/>
        <v>15506.876275807677</v>
      </c>
      <c r="BG63" s="15">
        <v>3059.44</v>
      </c>
      <c r="BI63" s="4">
        <f t="shared" si="36"/>
        <v>241.47620040481084</v>
      </c>
      <c r="BK63" s="4">
        <f t="shared" si="26"/>
        <v>2817.9637995951894</v>
      </c>
      <c r="BM63" s="4">
        <f t="shared" si="38"/>
        <v>32305.8471683773</v>
      </c>
      <c r="BO63" s="15">
        <v>2238.83</v>
      </c>
      <c r="BQ63" s="4">
        <f t="shared" si="37"/>
        <v>489.3795128504797</v>
      </c>
      <c r="BS63" s="4">
        <f t="shared" si="27"/>
        <v>1749.45048714952</v>
      </c>
      <c r="BU63" s="4">
        <f t="shared" si="28"/>
        <v>69433.0241092839</v>
      </c>
      <c r="BW63">
        <v>11422.1</v>
      </c>
      <c r="BY63" s="4">
        <f t="shared" si="11"/>
        <v>901.5324240315188</v>
      </c>
      <c r="CA63" s="4">
        <f t="shared" si="9"/>
        <v>10520.567575968482</v>
      </c>
      <c r="CC63" s="4">
        <f t="shared" si="10"/>
        <v>120611.4213740706</v>
      </c>
    </row>
    <row r="64" spans="1:81" ht="12.75">
      <c r="A64" s="9">
        <v>50</v>
      </c>
      <c r="C64">
        <v>3263.4</v>
      </c>
      <c r="E64" s="4">
        <f t="shared" si="29"/>
        <v>236.91060976928435</v>
      </c>
      <c r="G64" s="4">
        <f t="shared" si="12"/>
        <v>3026.489390230716</v>
      </c>
      <c r="I64" s="4">
        <f t="shared" si="13"/>
        <v>31433.235667119734</v>
      </c>
      <c r="K64" s="173">
        <v>1304.02</v>
      </c>
      <c r="M64" s="4">
        <f t="shared" si="30"/>
        <v>278.036739230722</v>
      </c>
      <c r="N64"/>
      <c r="O64" s="4">
        <f t="shared" si="14"/>
        <v>1025.9832607692779</v>
      </c>
      <c r="P64"/>
      <c r="Q64" s="4">
        <f t="shared" si="15"/>
        <v>39415.72426369937</v>
      </c>
      <c r="S64" s="15">
        <v>6347.96</v>
      </c>
      <c r="U64" s="4">
        <f t="shared" si="31"/>
        <v>1353.486580751309</v>
      </c>
      <c r="W64" s="4">
        <f t="shared" si="16"/>
        <v>4994.473419248691</v>
      </c>
      <c r="Y64" s="4">
        <f t="shared" si="17"/>
        <v>191876.3019627599</v>
      </c>
      <c r="AA64" s="15">
        <v>2513.77</v>
      </c>
      <c r="AC64" s="4">
        <f t="shared" si="32"/>
        <v>535.9758309945095</v>
      </c>
      <c r="AE64" s="4">
        <f t="shared" si="18"/>
        <v>1977.7941690054904</v>
      </c>
      <c r="AG64" s="4">
        <f t="shared" si="19"/>
        <v>75982.32670292316</v>
      </c>
      <c r="AI64" s="15">
        <v>2304.78</v>
      </c>
      <c r="AK64" s="4">
        <f t="shared" si="33"/>
        <v>167.31662208539257</v>
      </c>
      <c r="AM64" s="4">
        <f t="shared" si="20"/>
        <v>2137.4633779146075</v>
      </c>
      <c r="AO64" s="4">
        <f t="shared" si="21"/>
        <v>22199.499834506132</v>
      </c>
      <c r="AQ64" s="15">
        <v>9875.87</v>
      </c>
      <c r="AS64" s="4">
        <f t="shared" si="34"/>
        <v>716.9484388492433</v>
      </c>
      <c r="AU64" s="4">
        <f t="shared" si="22"/>
        <v>9158.921561150757</v>
      </c>
      <c r="AW64" s="4">
        <f t="shared" si="23"/>
        <v>95124.48772601191</v>
      </c>
      <c r="AY64">
        <v>1468.53</v>
      </c>
      <c r="BA64" s="4">
        <f t="shared" si="35"/>
        <v>106.60977439617778</v>
      </c>
      <c r="BC64" s="4">
        <f t="shared" si="24"/>
        <v>1361.9202256038222</v>
      </c>
      <c r="BE64" s="4">
        <f t="shared" si="25"/>
        <v>14144.956050203855</v>
      </c>
      <c r="BG64" s="15">
        <v>3059.44</v>
      </c>
      <c r="BI64" s="4">
        <f t="shared" si="36"/>
        <v>222.10269928259393</v>
      </c>
      <c r="BK64" s="4">
        <f t="shared" si="26"/>
        <v>2837.337300717406</v>
      </c>
      <c r="BM64" s="4">
        <f t="shared" si="38"/>
        <v>29468.509867659894</v>
      </c>
      <c r="BO64" s="15">
        <v>2238.83</v>
      </c>
      <c r="BQ64" s="4">
        <f t="shared" si="37"/>
        <v>477.3520407513268</v>
      </c>
      <c r="BS64" s="4">
        <f t="shared" si="27"/>
        <v>1761.4779592486732</v>
      </c>
      <c r="BU64" s="4">
        <f t="shared" si="28"/>
        <v>67671.54615003522</v>
      </c>
      <c r="BW64">
        <v>11422.1</v>
      </c>
      <c r="BY64" s="4">
        <f t="shared" si="11"/>
        <v>829.2035219467353</v>
      </c>
      <c r="CA64" s="4">
        <f t="shared" si="9"/>
        <v>10592.896478053264</v>
      </c>
      <c r="CC64" s="4">
        <f t="shared" si="10"/>
        <v>110018.52489601733</v>
      </c>
    </row>
    <row r="65" spans="1:81" ht="12.75">
      <c r="A65" s="9">
        <v>51</v>
      </c>
      <c r="C65">
        <v>3263.4</v>
      </c>
      <c r="E65" s="4">
        <f t="shared" si="29"/>
        <v>216.10349521144818</v>
      </c>
      <c r="G65" s="4">
        <f t="shared" si="12"/>
        <v>3047.296504788552</v>
      </c>
      <c r="I65" s="4">
        <f t="shared" si="13"/>
        <v>28385.939162331182</v>
      </c>
      <c r="K65" s="173">
        <v>1304.02</v>
      </c>
      <c r="M65" s="4">
        <f t="shared" si="30"/>
        <v>270.98310431293316</v>
      </c>
      <c r="N65"/>
      <c r="O65" s="4">
        <f t="shared" si="14"/>
        <v>1033.0368956870668</v>
      </c>
      <c r="P65"/>
      <c r="Q65" s="4">
        <f t="shared" si="15"/>
        <v>38382.6873680123</v>
      </c>
      <c r="S65" s="15">
        <v>6347.96</v>
      </c>
      <c r="U65" s="4">
        <f t="shared" si="31"/>
        <v>1319.1495759939744</v>
      </c>
      <c r="W65" s="4">
        <f t="shared" si="16"/>
        <v>5028.810424006026</v>
      </c>
      <c r="Y65" s="4">
        <f t="shared" si="17"/>
        <v>186847.49153875388</v>
      </c>
      <c r="AA65" s="15">
        <v>2513.77</v>
      </c>
      <c r="AC65" s="4">
        <f t="shared" si="32"/>
        <v>522.3784960825967</v>
      </c>
      <c r="AE65" s="4">
        <f t="shared" si="18"/>
        <v>1991.3915039174033</v>
      </c>
      <c r="AG65" s="4">
        <f t="shared" si="19"/>
        <v>73990.93519900576</v>
      </c>
      <c r="AI65" s="15">
        <v>2304.78</v>
      </c>
      <c r="AK65" s="4">
        <f t="shared" si="33"/>
        <v>152.62156136222967</v>
      </c>
      <c r="AM65" s="4">
        <f t="shared" si="20"/>
        <v>2152.1584386377704</v>
      </c>
      <c r="AO65" s="4">
        <f t="shared" si="21"/>
        <v>20047.341395868363</v>
      </c>
      <c r="AQ65" s="15">
        <v>9875.87</v>
      </c>
      <c r="AS65" s="4">
        <f t="shared" si="34"/>
        <v>653.9808531163319</v>
      </c>
      <c r="AU65" s="4">
        <f t="shared" si="22"/>
        <v>9221.889146883668</v>
      </c>
      <c r="AW65" s="4">
        <f t="shared" si="23"/>
        <v>85902.59857912824</v>
      </c>
      <c r="AY65">
        <v>1468.53</v>
      </c>
      <c r="BA65" s="4">
        <f t="shared" si="35"/>
        <v>97.2465728451515</v>
      </c>
      <c r="BC65" s="4">
        <f t="shared" si="24"/>
        <v>1371.2834271548484</v>
      </c>
      <c r="BE65" s="4">
        <f t="shared" si="25"/>
        <v>12773.672623049006</v>
      </c>
      <c r="BG65" s="15">
        <v>3059.44</v>
      </c>
      <c r="BI65" s="4">
        <f t="shared" si="36"/>
        <v>202.59600534016178</v>
      </c>
      <c r="BK65" s="4">
        <f t="shared" si="26"/>
        <v>2856.8439946598382</v>
      </c>
      <c r="BM65" s="4">
        <f t="shared" si="38"/>
        <v>26611.665873000056</v>
      </c>
      <c r="BO65" s="15">
        <v>2238.83</v>
      </c>
      <c r="BQ65" s="4">
        <f t="shared" si="37"/>
        <v>465.2418797814922</v>
      </c>
      <c r="BS65" s="4">
        <f t="shared" si="27"/>
        <v>1773.5881202185078</v>
      </c>
      <c r="BU65" s="4">
        <f t="shared" si="28"/>
        <v>65897.95802981671</v>
      </c>
      <c r="BW65">
        <v>11422.1</v>
      </c>
      <c r="BY65" s="4">
        <f t="shared" si="11"/>
        <v>756.3773586601192</v>
      </c>
      <c r="CA65" s="4">
        <f t="shared" si="9"/>
        <v>10665.722641339882</v>
      </c>
      <c r="CC65" s="4">
        <f t="shared" si="10"/>
        <v>99352.80225467746</v>
      </c>
    </row>
    <row r="66" spans="1:81" ht="12.75">
      <c r="A66" s="9">
        <v>52</v>
      </c>
      <c r="C66">
        <v>3263.4</v>
      </c>
      <c r="E66" s="4">
        <f t="shared" si="29"/>
        <v>195.15333174102688</v>
      </c>
      <c r="G66" s="4">
        <f t="shared" si="12"/>
        <v>3068.2466682589734</v>
      </c>
      <c r="I66" s="4">
        <f t="shared" si="13"/>
        <v>25317.69249407221</v>
      </c>
      <c r="K66" s="173">
        <v>1304.02</v>
      </c>
      <c r="M66" s="4">
        <f t="shared" si="30"/>
        <v>263.88097565508457</v>
      </c>
      <c r="N66"/>
      <c r="O66" s="4">
        <f t="shared" si="14"/>
        <v>1040.1390243449155</v>
      </c>
      <c r="P66"/>
      <c r="Q66" s="4">
        <f t="shared" si="15"/>
        <v>37342.54834366739</v>
      </c>
      <c r="S66" s="15">
        <v>6347.96</v>
      </c>
      <c r="U66" s="4">
        <f t="shared" si="31"/>
        <v>1284.576504328933</v>
      </c>
      <c r="W66" s="4">
        <f t="shared" si="16"/>
        <v>5063.383495671067</v>
      </c>
      <c r="Y66" s="4">
        <f t="shared" si="17"/>
        <v>181784.10804308282</v>
      </c>
      <c r="AA66" s="15">
        <v>2513.77</v>
      </c>
      <c r="AC66" s="4">
        <f t="shared" si="32"/>
        <v>508.68767949316464</v>
      </c>
      <c r="AE66" s="4">
        <f t="shared" si="18"/>
        <v>2005.0823205068355</v>
      </c>
      <c r="AG66" s="4">
        <f t="shared" si="19"/>
        <v>71985.85287849893</v>
      </c>
      <c r="AI66" s="15">
        <v>2304.78</v>
      </c>
      <c r="AK66" s="4">
        <f t="shared" si="33"/>
        <v>137.825472096595</v>
      </c>
      <c r="AM66" s="4">
        <f t="shared" si="20"/>
        <v>2166.954527903405</v>
      </c>
      <c r="AO66" s="4">
        <f t="shared" si="21"/>
        <v>17880.386867964957</v>
      </c>
      <c r="AQ66" s="15">
        <v>9875.87</v>
      </c>
      <c r="AS66" s="4">
        <f t="shared" si="34"/>
        <v>590.5803652315067</v>
      </c>
      <c r="AU66" s="4">
        <f t="shared" si="22"/>
        <v>9285.289634768495</v>
      </c>
      <c r="AW66" s="4">
        <f t="shared" si="23"/>
        <v>76617.30894435974</v>
      </c>
      <c r="AY66">
        <v>1468.53</v>
      </c>
      <c r="BA66" s="4">
        <f t="shared" si="35"/>
        <v>87.81899928346192</v>
      </c>
      <c r="BC66" s="4">
        <f t="shared" si="24"/>
        <v>1380.7110007165381</v>
      </c>
      <c r="BE66" s="4">
        <f t="shared" si="25"/>
        <v>11392.961622332468</v>
      </c>
      <c r="BG66" s="15">
        <v>3059.44</v>
      </c>
      <c r="BI66" s="4">
        <f t="shared" si="36"/>
        <v>182.95520287687538</v>
      </c>
      <c r="BK66" s="4">
        <f t="shared" si="26"/>
        <v>2876.4847971231247</v>
      </c>
      <c r="BM66" s="4">
        <f t="shared" si="38"/>
        <v>23735.18107587693</v>
      </c>
      <c r="BO66" s="15">
        <v>2238.83</v>
      </c>
      <c r="BQ66" s="4">
        <f t="shared" si="37"/>
        <v>453.0484614549899</v>
      </c>
      <c r="BS66" s="4">
        <f t="shared" si="27"/>
        <v>1785.78153854501</v>
      </c>
      <c r="BU66" s="4">
        <f t="shared" si="28"/>
        <v>64112.176491271704</v>
      </c>
      <c r="BW66">
        <v>11422.1</v>
      </c>
      <c r="BY66" s="4">
        <f t="shared" si="11"/>
        <v>683.0505155009075</v>
      </c>
      <c r="CA66" s="4">
        <f t="shared" si="9"/>
        <v>10739.049484499094</v>
      </c>
      <c r="CC66" s="4">
        <f t="shared" si="10"/>
        <v>88613.75277017837</v>
      </c>
    </row>
    <row r="67" spans="1:81" ht="12.75">
      <c r="A67" s="9">
        <v>53</v>
      </c>
      <c r="C67">
        <v>3263.4</v>
      </c>
      <c r="E67" s="4">
        <f t="shared" si="29"/>
        <v>174.05913589674643</v>
      </c>
      <c r="G67" s="4">
        <f t="shared" si="12"/>
        <v>3089.340864103254</v>
      </c>
      <c r="I67" s="4">
        <f t="shared" si="13"/>
        <v>22228.351629968955</v>
      </c>
      <c r="K67" s="173">
        <v>1304.02</v>
      </c>
      <c r="M67" s="4">
        <f t="shared" si="30"/>
        <v>256.7300198627133</v>
      </c>
      <c r="N67"/>
      <c r="O67" s="4">
        <f t="shared" si="14"/>
        <v>1047.2899801372866</v>
      </c>
      <c r="P67"/>
      <c r="Q67" s="4">
        <f t="shared" si="15"/>
        <v>36295.258363530105</v>
      </c>
      <c r="S67" s="15">
        <v>6347.96</v>
      </c>
      <c r="U67" s="4">
        <f t="shared" si="31"/>
        <v>1249.7657427961944</v>
      </c>
      <c r="W67" s="4">
        <f t="shared" si="16"/>
        <v>5098.194257203806</v>
      </c>
      <c r="Y67" s="4">
        <f t="shared" si="17"/>
        <v>176685.913785879</v>
      </c>
      <c r="AA67" s="15">
        <v>2513.77</v>
      </c>
      <c r="AC67" s="4">
        <f t="shared" si="32"/>
        <v>494.9027385396802</v>
      </c>
      <c r="AE67" s="4">
        <f t="shared" si="18"/>
        <v>2018.8672614603197</v>
      </c>
      <c r="AG67" s="4">
        <f t="shared" si="19"/>
        <v>69966.98561703862</v>
      </c>
      <c r="AI67" s="15">
        <v>2304.78</v>
      </c>
      <c r="AK67" s="4">
        <f t="shared" si="33"/>
        <v>122.92765971725908</v>
      </c>
      <c r="AM67" s="4">
        <f t="shared" si="20"/>
        <v>2181.8523402827414</v>
      </c>
      <c r="AO67" s="4">
        <f t="shared" si="21"/>
        <v>15698.534527682215</v>
      </c>
      <c r="AQ67" s="15">
        <v>9875.87</v>
      </c>
      <c r="AS67" s="4">
        <f t="shared" si="34"/>
        <v>526.7439989924733</v>
      </c>
      <c r="AU67" s="4">
        <f t="shared" si="22"/>
        <v>9349.126001007528</v>
      </c>
      <c r="AW67" s="4">
        <f t="shared" si="23"/>
        <v>67268.1829433522</v>
      </c>
      <c r="AY67">
        <v>1468.53</v>
      </c>
      <c r="BA67" s="4">
        <f t="shared" si="35"/>
        <v>78.32661115353572</v>
      </c>
      <c r="BC67" s="4">
        <f t="shared" si="24"/>
        <v>1390.2033888464643</v>
      </c>
      <c r="BE67" s="4">
        <f t="shared" si="25"/>
        <v>10002.758233486004</v>
      </c>
      <c r="BG67" s="15">
        <v>3059.44</v>
      </c>
      <c r="BI67" s="4">
        <f t="shared" si="36"/>
        <v>163.1793698966539</v>
      </c>
      <c r="BK67" s="4">
        <f t="shared" si="26"/>
        <v>2896.260630103346</v>
      </c>
      <c r="BM67" s="4">
        <f t="shared" si="38"/>
        <v>20838.920445773587</v>
      </c>
      <c r="BO67" s="15">
        <v>2238.83</v>
      </c>
      <c r="BQ67" s="4">
        <f t="shared" si="37"/>
        <v>440.771213377493</v>
      </c>
      <c r="BS67" s="4">
        <f t="shared" si="27"/>
        <v>1798.058786622507</v>
      </c>
      <c r="BU67" s="4">
        <f t="shared" si="28"/>
        <v>62314.117704649194</v>
      </c>
      <c r="BW67">
        <v>11422.1</v>
      </c>
      <c r="BY67" s="4">
        <f t="shared" si="11"/>
        <v>609.2195502949763</v>
      </c>
      <c r="CA67" s="4">
        <f t="shared" si="9"/>
        <v>10812.880449705024</v>
      </c>
      <c r="CC67" s="4">
        <f t="shared" si="10"/>
        <v>77800.87232047334</v>
      </c>
    </row>
    <row r="68" spans="1:81" ht="12.75">
      <c r="A68" s="9">
        <v>54</v>
      </c>
      <c r="C68">
        <v>3263.4</v>
      </c>
      <c r="E68" s="4">
        <f t="shared" si="29"/>
        <v>152.81991745603656</v>
      </c>
      <c r="G68" s="4">
        <f t="shared" si="12"/>
        <v>3110.5800825439637</v>
      </c>
      <c r="I68" s="4">
        <f t="shared" si="13"/>
        <v>19117.771547424993</v>
      </c>
      <c r="K68" s="173">
        <v>1304.02</v>
      </c>
      <c r="M68" s="4">
        <f t="shared" si="30"/>
        <v>249.52990124926947</v>
      </c>
      <c r="N68"/>
      <c r="O68" s="4">
        <f t="shared" si="14"/>
        <v>1054.4900987507306</v>
      </c>
      <c r="P68"/>
      <c r="Q68" s="4">
        <f t="shared" si="15"/>
        <v>35240.76826477938</v>
      </c>
      <c r="S68" s="15">
        <v>6347.96</v>
      </c>
      <c r="U68" s="4">
        <f t="shared" si="31"/>
        <v>1214.7156572779181</v>
      </c>
      <c r="W68" s="4">
        <f t="shared" si="16"/>
        <v>5133.244342722082</v>
      </c>
      <c r="Y68" s="4">
        <f t="shared" si="17"/>
        <v>171552.66944315692</v>
      </c>
      <c r="AA68" s="15">
        <v>2513.77</v>
      </c>
      <c r="AC68" s="4">
        <f t="shared" si="32"/>
        <v>481.0230261171405</v>
      </c>
      <c r="AE68" s="4">
        <f t="shared" si="18"/>
        <v>2032.7469738828595</v>
      </c>
      <c r="AG68" s="4">
        <f t="shared" si="19"/>
        <v>67934.23864315575</v>
      </c>
      <c r="AI68" s="15">
        <v>2304.78</v>
      </c>
      <c r="AK68" s="4">
        <f t="shared" si="33"/>
        <v>107.92742487781523</v>
      </c>
      <c r="AM68" s="4">
        <f t="shared" si="20"/>
        <v>2196.852575122185</v>
      </c>
      <c r="AO68" s="4">
        <f t="shared" si="21"/>
        <v>13501.68195256003</v>
      </c>
      <c r="AQ68" s="15">
        <v>9875.87</v>
      </c>
      <c r="AS68" s="4">
        <f t="shared" si="34"/>
        <v>462.46875773554643</v>
      </c>
      <c r="AU68" s="4">
        <f t="shared" si="22"/>
        <v>9413.401242264454</v>
      </c>
      <c r="AW68" s="4">
        <f t="shared" si="23"/>
        <v>57854.781701087755</v>
      </c>
      <c r="AY68">
        <v>1468.53</v>
      </c>
      <c r="BA68" s="4">
        <f t="shared" si="35"/>
        <v>68.76896285521627</v>
      </c>
      <c r="BC68" s="4">
        <f t="shared" si="24"/>
        <v>1399.7610371447836</v>
      </c>
      <c r="BE68" s="4">
        <f t="shared" si="25"/>
        <v>8602.99719634122</v>
      </c>
      <c r="BG68" s="15">
        <v>3059.44</v>
      </c>
      <c r="BI68" s="4">
        <f t="shared" si="36"/>
        <v>143.26757806469342</v>
      </c>
      <c r="BK68" s="4">
        <f t="shared" si="26"/>
        <v>2916.172421935307</v>
      </c>
      <c r="BM68" s="4">
        <f t="shared" si="38"/>
        <v>17922.74802383828</v>
      </c>
      <c r="BO68" s="15">
        <v>2238.83</v>
      </c>
      <c r="BQ68" s="4">
        <f t="shared" si="37"/>
        <v>428.40955921946323</v>
      </c>
      <c r="BS68" s="4">
        <f t="shared" si="27"/>
        <v>1810.4204407805366</v>
      </c>
      <c r="BU68" s="4">
        <f t="shared" si="28"/>
        <v>60503.69726386866</v>
      </c>
      <c r="BW68">
        <v>11422.1</v>
      </c>
      <c r="BY68" s="4">
        <f t="shared" si="11"/>
        <v>534.8809972032542</v>
      </c>
      <c r="CA68" s="4">
        <f t="shared" si="9"/>
        <v>10887.219002796746</v>
      </c>
      <c r="CC68" s="4">
        <f t="shared" si="10"/>
        <v>66913.6533176766</v>
      </c>
    </row>
    <row r="69" spans="1:81" ht="12.75">
      <c r="A69" s="9">
        <v>55</v>
      </c>
      <c r="C69">
        <v>3263.4</v>
      </c>
      <c r="E69" s="4">
        <f t="shared" si="29"/>
        <v>131.4346793885468</v>
      </c>
      <c r="G69" s="4">
        <f t="shared" si="12"/>
        <v>3131.965320611453</v>
      </c>
      <c r="I69" s="4">
        <f t="shared" si="13"/>
        <v>15985.80622681354</v>
      </c>
      <c r="K69" s="173">
        <v>1304.02</v>
      </c>
      <c r="M69" s="4">
        <f t="shared" si="30"/>
        <v>242.28028182035823</v>
      </c>
      <c r="N69"/>
      <c r="O69" s="4">
        <f t="shared" si="14"/>
        <v>1061.7397181796418</v>
      </c>
      <c r="P69"/>
      <c r="Q69" s="4">
        <f t="shared" si="15"/>
        <v>34179.02854659974</v>
      </c>
      <c r="S69" s="15">
        <v>6347.96</v>
      </c>
      <c r="U69" s="4">
        <f t="shared" si="31"/>
        <v>1179.4246024217039</v>
      </c>
      <c r="W69" s="4">
        <f t="shared" si="16"/>
        <v>5168.535397578296</v>
      </c>
      <c r="Y69" s="4">
        <f t="shared" si="17"/>
        <v>166384.13404557863</v>
      </c>
      <c r="AA69" s="15">
        <v>2513.77</v>
      </c>
      <c r="AC69" s="4">
        <f t="shared" si="32"/>
        <v>467.0478906716958</v>
      </c>
      <c r="AE69" s="4">
        <f t="shared" si="18"/>
        <v>2046.7221093283042</v>
      </c>
      <c r="AG69" s="4">
        <f t="shared" si="19"/>
        <v>65887.51653382745</v>
      </c>
      <c r="AI69" s="15">
        <v>2304.78</v>
      </c>
      <c r="AK69" s="4">
        <f t="shared" si="33"/>
        <v>92.8240634238502</v>
      </c>
      <c r="AM69" s="4">
        <f t="shared" si="20"/>
        <v>2211.95593657615</v>
      </c>
      <c r="AO69" s="4">
        <f t="shared" si="21"/>
        <v>11289.726015983879</v>
      </c>
      <c r="AQ69" s="15">
        <v>9875.87</v>
      </c>
      <c r="AS69" s="4">
        <f t="shared" si="34"/>
        <v>397.7516241949783</v>
      </c>
      <c r="AU69" s="4">
        <f t="shared" si="22"/>
        <v>9478.118375805023</v>
      </c>
      <c r="AW69" s="4">
        <f t="shared" si="23"/>
        <v>48376.66332528273</v>
      </c>
      <c r="AY69">
        <v>1468.53</v>
      </c>
      <c r="BA69" s="4">
        <f t="shared" si="35"/>
        <v>59.14560572484589</v>
      </c>
      <c r="BC69" s="4">
        <f t="shared" si="24"/>
        <v>1409.3843942751541</v>
      </c>
      <c r="BE69" s="4">
        <f t="shared" si="25"/>
        <v>7193.612802066067</v>
      </c>
      <c r="BG69" s="15">
        <v>3059.44</v>
      </c>
      <c r="BI69" s="4">
        <f t="shared" si="36"/>
        <v>123.21889266388818</v>
      </c>
      <c r="BK69" s="4">
        <f t="shared" si="26"/>
        <v>2936.221107336112</v>
      </c>
      <c r="BM69" s="4">
        <f t="shared" si="38"/>
        <v>14986.52691650217</v>
      </c>
      <c r="BO69" s="15">
        <v>2238.83</v>
      </c>
      <c r="BQ69" s="4">
        <f t="shared" si="37"/>
        <v>415.962918689097</v>
      </c>
      <c r="BS69" s="4">
        <f t="shared" si="27"/>
        <v>1822.867081310903</v>
      </c>
      <c r="BU69" s="4">
        <f t="shared" si="28"/>
        <v>58680.83018255775</v>
      </c>
      <c r="BW69">
        <v>11422.1</v>
      </c>
      <c r="BY69" s="4">
        <f t="shared" si="11"/>
        <v>460.0313665590266</v>
      </c>
      <c r="CA69" s="4">
        <f t="shared" si="9"/>
        <v>10962.068633440973</v>
      </c>
      <c r="CC69" s="4">
        <f t="shared" si="10"/>
        <v>55951.584684235626</v>
      </c>
    </row>
    <row r="70" spans="1:81" ht="12.75">
      <c r="A70" s="9">
        <v>56</v>
      </c>
      <c r="C70">
        <v>3263.4</v>
      </c>
      <c r="E70" s="4">
        <f t="shared" si="29"/>
        <v>109.90241780934309</v>
      </c>
      <c r="G70" s="4">
        <f t="shared" si="12"/>
        <v>3153.497582190657</v>
      </c>
      <c r="I70" s="4">
        <f t="shared" si="13"/>
        <v>12832.308644622883</v>
      </c>
      <c r="K70" s="173">
        <v>1304.02</v>
      </c>
      <c r="M70" s="4">
        <f t="shared" si="30"/>
        <v>234.9808212578732</v>
      </c>
      <c r="N70"/>
      <c r="O70" s="4">
        <f t="shared" si="14"/>
        <v>1069.0391787421268</v>
      </c>
      <c r="P70"/>
      <c r="Q70" s="4">
        <f t="shared" si="15"/>
        <v>33109.98936785761</v>
      </c>
      <c r="S70" s="15">
        <v>6347.96</v>
      </c>
      <c r="U70" s="4">
        <f t="shared" si="31"/>
        <v>1143.890921563353</v>
      </c>
      <c r="W70" s="4">
        <f t="shared" si="16"/>
        <v>5204.069078436647</v>
      </c>
      <c r="Y70" s="4">
        <f t="shared" si="17"/>
        <v>161180.06496714198</v>
      </c>
      <c r="AA70" s="15">
        <v>2513.77</v>
      </c>
      <c r="AC70" s="4">
        <f t="shared" si="32"/>
        <v>452.97667617006374</v>
      </c>
      <c r="AE70" s="4">
        <f t="shared" si="18"/>
        <v>2060.793323829936</v>
      </c>
      <c r="AG70" s="4">
        <f t="shared" si="19"/>
        <v>63826.723209997515</v>
      </c>
      <c r="AI70" s="15">
        <v>2304.78</v>
      </c>
      <c r="AK70" s="4">
        <f t="shared" si="33"/>
        <v>77.61686635988917</v>
      </c>
      <c r="AM70" s="4">
        <f t="shared" si="20"/>
        <v>2227.163133640111</v>
      </c>
      <c r="AO70" s="4">
        <f t="shared" si="21"/>
        <v>9062.562882343767</v>
      </c>
      <c r="AQ70" s="15">
        <v>9875.87</v>
      </c>
      <c r="AS70" s="4">
        <f t="shared" si="34"/>
        <v>332.5895603613188</v>
      </c>
      <c r="AU70" s="4">
        <f t="shared" si="22"/>
        <v>9543.280439638682</v>
      </c>
      <c r="AW70" s="4">
        <f t="shared" si="23"/>
        <v>38833.38288564405</v>
      </c>
      <c r="AY70">
        <v>1468.53</v>
      </c>
      <c r="BA70" s="4">
        <f t="shared" si="35"/>
        <v>49.45608801420421</v>
      </c>
      <c r="BC70" s="4">
        <f t="shared" si="24"/>
        <v>1419.0739119857958</v>
      </c>
      <c r="BE70" s="4">
        <f t="shared" si="25"/>
        <v>5774.538890080272</v>
      </c>
      <c r="BG70" s="15">
        <v>3059.44</v>
      </c>
      <c r="BI70" s="4">
        <f t="shared" si="36"/>
        <v>103.03237255095242</v>
      </c>
      <c r="BK70" s="4">
        <f t="shared" si="26"/>
        <v>2956.4076274490476</v>
      </c>
      <c r="BM70" s="4">
        <f t="shared" si="38"/>
        <v>12030.119289053122</v>
      </c>
      <c r="BO70" s="15">
        <v>2238.83</v>
      </c>
      <c r="BQ70" s="4">
        <f t="shared" si="37"/>
        <v>403.4307075050845</v>
      </c>
      <c r="BS70" s="4">
        <f t="shared" si="27"/>
        <v>1835.3992924949155</v>
      </c>
      <c r="BU70" s="4">
        <f t="shared" si="28"/>
        <v>56845.43089006284</v>
      </c>
      <c r="BW70">
        <v>11422.1</v>
      </c>
      <c r="BY70" s="4">
        <f t="shared" si="11"/>
        <v>384.66714470411995</v>
      </c>
      <c r="CA70" s="4">
        <f t="shared" si="9"/>
        <v>11037.43285529588</v>
      </c>
      <c r="CC70" s="4">
        <f t="shared" si="10"/>
        <v>44914.15182893975</v>
      </c>
    </row>
    <row r="71" spans="1:81" ht="12.75">
      <c r="A71" s="9">
        <v>57</v>
      </c>
      <c r="C71">
        <v>3263.4</v>
      </c>
      <c r="E71" s="4">
        <f t="shared" si="29"/>
        <v>88.22212193178233</v>
      </c>
      <c r="G71" s="4">
        <f t="shared" si="12"/>
        <v>3175.177878068218</v>
      </c>
      <c r="I71" s="4">
        <f t="shared" si="13"/>
        <v>9657.130766554665</v>
      </c>
      <c r="K71" s="173">
        <v>1304.02</v>
      </c>
      <c r="M71" s="4">
        <f t="shared" si="30"/>
        <v>227.6311769040211</v>
      </c>
      <c r="N71"/>
      <c r="O71" s="4">
        <f t="shared" si="14"/>
        <v>1076.388823095979</v>
      </c>
      <c r="P71"/>
      <c r="Q71" s="4">
        <f t="shared" si="15"/>
        <v>32033.600544761634</v>
      </c>
      <c r="S71" s="15">
        <v>6347.96</v>
      </c>
      <c r="U71" s="4">
        <f t="shared" si="31"/>
        <v>1108.112946649101</v>
      </c>
      <c r="W71" s="4">
        <f t="shared" si="16"/>
        <v>5239.847053350899</v>
      </c>
      <c r="Y71" s="4">
        <f t="shared" si="17"/>
        <v>155940.21791379107</v>
      </c>
      <c r="AA71" s="15">
        <v>2513.77</v>
      </c>
      <c r="AC71" s="4">
        <f t="shared" si="32"/>
        <v>438.80872206873295</v>
      </c>
      <c r="AE71" s="4">
        <f t="shared" si="18"/>
        <v>2074.961277931267</v>
      </c>
      <c r="AG71" s="4">
        <f t="shared" si="19"/>
        <v>61751.76193206625</v>
      </c>
      <c r="AI71" s="15">
        <v>2304.78</v>
      </c>
      <c r="AK71" s="4">
        <f t="shared" si="33"/>
        <v>62.305119816113404</v>
      </c>
      <c r="AM71" s="4">
        <f t="shared" si="20"/>
        <v>2242.474880183887</v>
      </c>
      <c r="AO71" s="4">
        <f t="shared" si="21"/>
        <v>6820.0880021598805</v>
      </c>
      <c r="AQ71" s="15">
        <v>9875.87</v>
      </c>
      <c r="AS71" s="4">
        <f t="shared" si="34"/>
        <v>266.9795073388029</v>
      </c>
      <c r="AU71" s="4">
        <f t="shared" si="22"/>
        <v>9608.890492661198</v>
      </c>
      <c r="AW71" s="4">
        <f t="shared" si="23"/>
        <v>29224.492392982855</v>
      </c>
      <c r="AY71">
        <v>1468.53</v>
      </c>
      <c r="BA71" s="4">
        <f t="shared" si="35"/>
        <v>39.69995486930187</v>
      </c>
      <c r="BC71" s="4">
        <f t="shared" si="24"/>
        <v>1428.8300451306982</v>
      </c>
      <c r="BE71" s="4">
        <f t="shared" si="25"/>
        <v>4345.708844949573</v>
      </c>
      <c r="BG71" s="15">
        <v>3059.44</v>
      </c>
      <c r="BI71" s="4">
        <f t="shared" si="36"/>
        <v>82.70707011224022</v>
      </c>
      <c r="BK71" s="4">
        <f t="shared" si="26"/>
        <v>2976.73292988776</v>
      </c>
      <c r="BM71" s="4">
        <f t="shared" si="38"/>
        <v>9053.386359165363</v>
      </c>
      <c r="BO71" s="15">
        <v>2238.83</v>
      </c>
      <c r="BQ71" s="4">
        <f t="shared" si="37"/>
        <v>390.812337369182</v>
      </c>
      <c r="BS71" s="4">
        <f t="shared" si="27"/>
        <v>1848.017662630818</v>
      </c>
      <c r="BU71" s="4">
        <f t="shared" si="28"/>
        <v>54997.41322743202</v>
      </c>
      <c r="BW71">
        <v>11422.1</v>
      </c>
      <c r="BY71" s="4">
        <f t="shared" si="11"/>
        <v>308.7847938239608</v>
      </c>
      <c r="CA71" s="4">
        <f t="shared" si="9"/>
        <v>11113.31520617604</v>
      </c>
      <c r="CC71" s="4">
        <f t="shared" si="10"/>
        <v>33800.83662276371</v>
      </c>
    </row>
    <row r="72" spans="1:81" ht="12.75">
      <c r="A72" s="9">
        <v>58</v>
      </c>
      <c r="C72">
        <v>3263.4</v>
      </c>
      <c r="E72" s="4">
        <f t="shared" si="29"/>
        <v>66.39277402006331</v>
      </c>
      <c r="G72" s="4">
        <f t="shared" si="12"/>
        <v>3197.0072259799367</v>
      </c>
      <c r="I72" s="4">
        <f t="shared" si="13"/>
        <v>6460.123540574728</v>
      </c>
      <c r="K72" s="173">
        <v>1304.02</v>
      </c>
      <c r="M72" s="4">
        <f t="shared" si="30"/>
        <v>220.23100374523622</v>
      </c>
      <c r="N72"/>
      <c r="O72" s="4">
        <f t="shared" si="14"/>
        <v>1083.7889962547638</v>
      </c>
      <c r="P72"/>
      <c r="Q72" s="4">
        <f t="shared" si="15"/>
        <v>30949.81154850687</v>
      </c>
      <c r="S72" s="15">
        <v>6347.96</v>
      </c>
      <c r="U72" s="4">
        <f t="shared" si="31"/>
        <v>1072.0889981573137</v>
      </c>
      <c r="W72" s="4">
        <f t="shared" si="16"/>
        <v>5275.871001842686</v>
      </c>
      <c r="Y72" s="4">
        <f t="shared" si="17"/>
        <v>150664.34691194838</v>
      </c>
      <c r="AA72" s="15">
        <v>2513.77</v>
      </c>
      <c r="AC72" s="4">
        <f t="shared" si="32"/>
        <v>424.54336328295545</v>
      </c>
      <c r="AE72" s="4">
        <f t="shared" si="18"/>
        <v>2089.2266367170446</v>
      </c>
      <c r="AG72" s="4">
        <f t="shared" si="19"/>
        <v>59662.535295349204</v>
      </c>
      <c r="AI72" s="15">
        <v>2304.78</v>
      </c>
      <c r="AK72" s="4">
        <f t="shared" si="33"/>
        <v>46.88810501484918</v>
      </c>
      <c r="AM72" s="4">
        <f t="shared" si="20"/>
        <v>2257.891894985151</v>
      </c>
      <c r="AO72" s="4">
        <f t="shared" si="21"/>
        <v>4562.19610717473</v>
      </c>
      <c r="AQ72" s="15">
        <v>9875.87</v>
      </c>
      <c r="AS72" s="4">
        <f t="shared" si="34"/>
        <v>200.91838520175713</v>
      </c>
      <c r="AU72" s="4">
        <f t="shared" si="22"/>
        <v>9674.951614798243</v>
      </c>
      <c r="AW72" s="4">
        <f t="shared" si="23"/>
        <v>19549.54077818461</v>
      </c>
      <c r="AY72">
        <v>1468.53</v>
      </c>
      <c r="BA72" s="4">
        <f t="shared" si="35"/>
        <v>29.876748309028315</v>
      </c>
      <c r="BC72" s="4">
        <f t="shared" si="24"/>
        <v>1438.6532516909717</v>
      </c>
      <c r="BE72" s="4">
        <f t="shared" si="25"/>
        <v>2907.055593258601</v>
      </c>
      <c r="BG72" s="15">
        <v>3059.44</v>
      </c>
      <c r="BI72" s="4">
        <f t="shared" si="36"/>
        <v>62.24203121926187</v>
      </c>
      <c r="BK72" s="4">
        <f t="shared" si="26"/>
        <v>2997.1979687807384</v>
      </c>
      <c r="BM72" s="4">
        <f t="shared" si="38"/>
        <v>6056.188390384625</v>
      </c>
      <c r="BO72" s="15">
        <v>2238.83</v>
      </c>
      <c r="BQ72" s="4">
        <f t="shared" si="37"/>
        <v>378.1072159385952</v>
      </c>
      <c r="BS72" s="4">
        <f t="shared" si="27"/>
        <v>1860.7227840614048</v>
      </c>
      <c r="BU72" s="4">
        <f t="shared" si="28"/>
        <v>53136.690443370615</v>
      </c>
      <c r="BW72">
        <v>11422.1</v>
      </c>
      <c r="BY72" s="4">
        <f t="shared" si="11"/>
        <v>232.3807517815005</v>
      </c>
      <c r="CA72" s="4">
        <f t="shared" si="9"/>
        <v>11189.7192482185</v>
      </c>
      <c r="CC72" s="4">
        <f t="shared" si="10"/>
        <v>22611.11737454521</v>
      </c>
    </row>
    <row r="73" spans="1:81" ht="12.75">
      <c r="A73" s="9">
        <v>59</v>
      </c>
      <c r="C73">
        <v>3263.4</v>
      </c>
      <c r="E73" s="4">
        <f t="shared" si="29"/>
        <v>44.41334934145126</v>
      </c>
      <c r="G73" s="4">
        <f t="shared" si="12"/>
        <v>3218.986650658549</v>
      </c>
      <c r="I73" s="4">
        <f t="shared" si="13"/>
        <v>3241.1368899161794</v>
      </c>
      <c r="K73" s="173">
        <v>1304.02</v>
      </c>
      <c r="M73" s="4">
        <f t="shared" si="30"/>
        <v>212.77995439598473</v>
      </c>
      <c r="N73"/>
      <c r="O73" s="4">
        <f t="shared" si="14"/>
        <v>1091.2400456040152</v>
      </c>
      <c r="P73"/>
      <c r="Q73" s="4">
        <f t="shared" si="15"/>
        <v>29858.571502902854</v>
      </c>
      <c r="S73" s="15">
        <v>6347.96</v>
      </c>
      <c r="U73" s="4">
        <f t="shared" si="31"/>
        <v>1035.8173850196451</v>
      </c>
      <c r="W73" s="4">
        <f t="shared" si="16"/>
        <v>5312.142614980355</v>
      </c>
      <c r="Y73" s="4">
        <f t="shared" si="17"/>
        <v>145352.20429696803</v>
      </c>
      <c r="AA73" s="15">
        <v>2513.77</v>
      </c>
      <c r="AC73" s="4">
        <f t="shared" si="32"/>
        <v>410.17993015552577</v>
      </c>
      <c r="AE73" s="4">
        <f t="shared" si="18"/>
        <v>2103.5900698444743</v>
      </c>
      <c r="AG73" s="4">
        <f t="shared" si="19"/>
        <v>57558.94522550473</v>
      </c>
      <c r="AI73" s="15">
        <v>2304.78</v>
      </c>
      <c r="AK73" s="4">
        <f t="shared" si="33"/>
        <v>31.36509823682627</v>
      </c>
      <c r="AM73" s="4">
        <f t="shared" si="20"/>
        <v>2273.414901763174</v>
      </c>
      <c r="AO73" s="4">
        <f t="shared" si="21"/>
        <v>2288.781205411556</v>
      </c>
      <c r="AQ73" s="15">
        <v>9875.87</v>
      </c>
      <c r="AS73" s="4">
        <f t="shared" si="34"/>
        <v>134.4030928500192</v>
      </c>
      <c r="AU73" s="4">
        <f t="shared" si="22"/>
        <v>9741.466907149981</v>
      </c>
      <c r="AW73" s="4">
        <f t="shared" si="23"/>
        <v>9808.07387103463</v>
      </c>
      <c r="AY73">
        <v>1468.53</v>
      </c>
      <c r="BA73" s="4">
        <f t="shared" si="35"/>
        <v>19.986007203652882</v>
      </c>
      <c r="BC73" s="4">
        <f t="shared" si="24"/>
        <v>1448.543992796347</v>
      </c>
      <c r="BE73" s="4">
        <f t="shared" si="25"/>
        <v>1458.5116004622541</v>
      </c>
      <c r="BG73" s="15">
        <v>3059.44</v>
      </c>
      <c r="BI73" s="4">
        <f t="shared" si="36"/>
        <v>41.6362951838943</v>
      </c>
      <c r="BK73" s="4">
        <f t="shared" si="26"/>
        <v>3017.803704816106</v>
      </c>
      <c r="BM73" s="4">
        <f t="shared" si="38"/>
        <v>3038.3846855685188</v>
      </c>
      <c r="BO73" s="15">
        <v>2238.83</v>
      </c>
      <c r="BQ73" s="4">
        <f t="shared" si="37"/>
        <v>365.31474679817296</v>
      </c>
      <c r="BS73" s="4">
        <f t="shared" si="27"/>
        <v>1873.515253201827</v>
      </c>
      <c r="BU73" s="4">
        <f t="shared" si="28"/>
        <v>51263.17519016879</v>
      </c>
      <c r="BW73">
        <v>11422.1</v>
      </c>
      <c r="BY73" s="4">
        <f t="shared" si="11"/>
        <v>155.45143194999832</v>
      </c>
      <c r="CA73" s="4">
        <f t="shared" si="9"/>
        <v>11266.648568050003</v>
      </c>
      <c r="CC73" s="4">
        <f t="shared" si="10"/>
        <v>11344.468806495208</v>
      </c>
    </row>
    <row r="74" spans="1:81" ht="12.75">
      <c r="A74" s="9">
        <v>60</v>
      </c>
      <c r="C74">
        <v>3263.4</v>
      </c>
      <c r="E74" s="4">
        <f t="shared" si="29"/>
        <v>22.282816118173734</v>
      </c>
      <c r="G74" s="4">
        <f t="shared" si="12"/>
        <v>3241.1171838818263</v>
      </c>
      <c r="I74" s="4">
        <f t="shared" si="13"/>
        <v>0.019706034353021096</v>
      </c>
      <c r="K74" s="173">
        <v>1304.02</v>
      </c>
      <c r="M74" s="4">
        <f t="shared" si="30"/>
        <v>205.27767908245713</v>
      </c>
      <c r="N74"/>
      <c r="O74" s="4">
        <f t="shared" si="14"/>
        <v>1098.7423209175429</v>
      </c>
      <c r="P74"/>
      <c r="Q74" s="4">
        <f t="shared" si="15"/>
        <v>28759.82918198531</v>
      </c>
      <c r="S74" s="15">
        <v>6347.96</v>
      </c>
      <c r="U74" s="4">
        <f t="shared" si="31"/>
        <v>999.2964045416552</v>
      </c>
      <c r="W74" s="4">
        <f t="shared" si="16"/>
        <v>5348.663595458345</v>
      </c>
      <c r="Y74" s="4">
        <f t="shared" si="17"/>
        <v>140003.5407015097</v>
      </c>
      <c r="AA74" s="15">
        <v>2513.77</v>
      </c>
      <c r="AC74" s="4">
        <f t="shared" si="32"/>
        <v>395.717748425345</v>
      </c>
      <c r="AE74" s="4">
        <f t="shared" si="18"/>
        <v>2118.052251574655</v>
      </c>
      <c r="AG74" s="4">
        <f t="shared" si="19"/>
        <v>55440.89297393007</v>
      </c>
      <c r="AI74" s="15">
        <v>2304.78</v>
      </c>
      <c r="AK74" s="4">
        <f t="shared" si="33"/>
        <v>15.735370787204449</v>
      </c>
      <c r="AM74" s="4">
        <f t="shared" si="20"/>
        <v>2289.044629212796</v>
      </c>
      <c r="AO74" s="4">
        <f t="shared" si="21"/>
        <v>-0.26342380123969633</v>
      </c>
      <c r="AQ74" s="15">
        <v>9875.87</v>
      </c>
      <c r="AS74" s="4">
        <f t="shared" si="34"/>
        <v>67.43050786336309</v>
      </c>
      <c r="AU74" s="4">
        <f t="shared" si="22"/>
        <v>9808.439492136638</v>
      </c>
      <c r="AW74" s="4">
        <f t="shared" si="23"/>
        <v>-0.3656211020079354</v>
      </c>
      <c r="AY74">
        <v>1468.53</v>
      </c>
      <c r="BA74" s="4">
        <f t="shared" si="35"/>
        <v>10.027267253177998</v>
      </c>
      <c r="BC74" s="4">
        <f t="shared" si="24"/>
        <v>1458.502732746822</v>
      </c>
      <c r="BE74" s="4">
        <f t="shared" si="25"/>
        <v>0.008867715432188561</v>
      </c>
      <c r="BG74" s="15">
        <v>3059.44</v>
      </c>
      <c r="BI74" s="4">
        <f t="shared" si="36"/>
        <v>20.888894713283566</v>
      </c>
      <c r="BK74" s="4">
        <f t="shared" si="26"/>
        <v>3038.5511052867164</v>
      </c>
      <c r="BM74" s="4">
        <f t="shared" si="38"/>
        <v>-0.16641971819763057</v>
      </c>
      <c r="BO74" s="15">
        <v>2238.83</v>
      </c>
      <c r="BQ74" s="4">
        <f t="shared" si="37"/>
        <v>352.43432943241044</v>
      </c>
      <c r="BS74" s="4">
        <f t="shared" si="27"/>
        <v>1886.3956705675896</v>
      </c>
      <c r="BU74" s="4">
        <f t="shared" si="28"/>
        <v>49376.7795196012</v>
      </c>
      <c r="BW74">
        <v>11422.1</v>
      </c>
      <c r="BY74" s="4">
        <f t="shared" si="11"/>
        <v>77.99322304465456</v>
      </c>
      <c r="CA74" s="4">
        <f t="shared" si="9"/>
        <v>11344.106776955347</v>
      </c>
      <c r="CC74" s="4">
        <f t="shared" si="10"/>
        <v>0.3620295398613962</v>
      </c>
    </row>
    <row r="75" spans="1:73" ht="12.75">
      <c r="A75" s="9">
        <v>61</v>
      </c>
      <c r="E75" s="4"/>
      <c r="G75" s="4"/>
      <c r="K75" s="173">
        <v>1304.02</v>
      </c>
      <c r="M75" s="4">
        <f t="shared" si="30"/>
        <v>197.72382562614902</v>
      </c>
      <c r="O75" s="4">
        <f t="shared" si="14"/>
        <v>1106.296174373851</v>
      </c>
      <c r="Q75" s="4">
        <f t="shared" si="15"/>
        <v>27653.53300761146</v>
      </c>
      <c r="S75" s="15">
        <v>6347.96</v>
      </c>
      <c r="U75" s="4">
        <f t="shared" si="31"/>
        <v>962.5243423228791</v>
      </c>
      <c r="W75" s="4">
        <f t="shared" si="16"/>
        <v>5385.435657677121</v>
      </c>
      <c r="Y75" s="4">
        <f t="shared" si="17"/>
        <v>134618.10504383256</v>
      </c>
      <c r="AA75" s="15">
        <v>2513.77</v>
      </c>
      <c r="AC75" s="4">
        <f t="shared" si="32"/>
        <v>381.15613919576924</v>
      </c>
      <c r="AE75" s="4">
        <f t="shared" si="18"/>
        <v>2132.6138608042306</v>
      </c>
      <c r="AG75" s="4">
        <f t="shared" si="19"/>
        <v>53308.27911312584</v>
      </c>
      <c r="BO75" s="15">
        <v>2238.83</v>
      </c>
      <c r="BQ75" s="4">
        <f t="shared" si="37"/>
        <v>339.46535919725824</v>
      </c>
      <c r="BS75" s="4">
        <f t="shared" si="27"/>
        <v>1899.3646408027416</v>
      </c>
      <c r="BU75" s="4">
        <f t="shared" si="28"/>
        <v>47477.41487879846</v>
      </c>
    </row>
    <row r="76" spans="1:73" ht="12.75">
      <c r="A76" s="9">
        <v>62</v>
      </c>
      <c r="E76" s="4"/>
      <c r="G76" s="4"/>
      <c r="K76" s="173">
        <v>1304.02</v>
      </c>
      <c r="M76" s="4">
        <f t="shared" si="30"/>
        <v>190.11803942732877</v>
      </c>
      <c r="O76" s="4">
        <f t="shared" si="14"/>
        <v>1113.9019605726712</v>
      </c>
      <c r="Q76" s="4">
        <f t="shared" si="15"/>
        <v>26539.631047038787</v>
      </c>
      <c r="S76" s="15">
        <v>6347.96</v>
      </c>
      <c r="U76" s="4">
        <f t="shared" si="31"/>
        <v>925.4994721763488</v>
      </c>
      <c r="W76" s="4">
        <f t="shared" si="16"/>
        <v>5422.460527823651</v>
      </c>
      <c r="Y76" s="4">
        <f t="shared" si="17"/>
        <v>129195.6445160089</v>
      </c>
      <c r="AA76" s="15">
        <v>2513.77</v>
      </c>
      <c r="AC76" s="4">
        <f t="shared" si="32"/>
        <v>366.49441890274016</v>
      </c>
      <c r="AE76" s="4">
        <f t="shared" si="18"/>
        <v>2147.27558109726</v>
      </c>
      <c r="AG76" s="4">
        <f t="shared" si="19"/>
        <v>51161.00353202858</v>
      </c>
      <c r="BO76" s="15">
        <v>2238.83</v>
      </c>
      <c r="BQ76" s="4">
        <f t="shared" si="37"/>
        <v>326.4072272917394</v>
      </c>
      <c r="BS76" s="4">
        <f t="shared" si="27"/>
        <v>1912.4227727082605</v>
      </c>
      <c r="BU76" s="4">
        <f t="shared" si="28"/>
        <v>45564.9921060902</v>
      </c>
    </row>
    <row r="77" spans="1:73" ht="12.75">
      <c r="A77" s="9">
        <v>63</v>
      </c>
      <c r="E77" s="4"/>
      <c r="G77" s="4"/>
      <c r="K77" s="173">
        <v>1304.02</v>
      </c>
      <c r="M77" s="4">
        <f t="shared" si="30"/>
        <v>182.45996344839168</v>
      </c>
      <c r="O77" s="4">
        <f t="shared" si="14"/>
        <v>1121.5600365516084</v>
      </c>
      <c r="Q77" s="4">
        <f t="shared" si="15"/>
        <v>25418.07101048718</v>
      </c>
      <c r="S77" s="15">
        <v>6347.96</v>
      </c>
      <c r="U77" s="4">
        <f t="shared" si="31"/>
        <v>888.2200560475612</v>
      </c>
      <c r="W77" s="4">
        <f t="shared" si="16"/>
        <v>5459.739943952439</v>
      </c>
      <c r="Y77" s="4">
        <f t="shared" si="17"/>
        <v>123735.90457205646</v>
      </c>
      <c r="AA77" s="15">
        <v>2513.77</v>
      </c>
      <c r="AC77" s="4">
        <f t="shared" si="32"/>
        <v>351.73189928269653</v>
      </c>
      <c r="AE77" s="4">
        <f t="shared" si="18"/>
        <v>2162.0381007173037</v>
      </c>
      <c r="AG77" s="4">
        <f t="shared" si="19"/>
        <v>48998.96543131128</v>
      </c>
      <c r="BO77" s="15">
        <v>2238.83</v>
      </c>
      <c r="BQ77" s="4">
        <f t="shared" si="37"/>
        <v>313.25932072937013</v>
      </c>
      <c r="BS77" s="4">
        <f t="shared" si="27"/>
        <v>1925.5706792706299</v>
      </c>
      <c r="BU77" s="4">
        <f t="shared" si="28"/>
        <v>43639.421426819565</v>
      </c>
    </row>
    <row r="78" spans="1:73" ht="12.75">
      <c r="A78" s="9">
        <v>64</v>
      </c>
      <c r="E78" s="4"/>
      <c r="G78" s="4"/>
      <c r="K78" s="173">
        <v>1304.02</v>
      </c>
      <c r="M78" s="4">
        <f t="shared" si="30"/>
        <v>174.74923819709937</v>
      </c>
      <c r="O78" s="4">
        <f t="shared" si="14"/>
        <v>1129.2707618029006</v>
      </c>
      <c r="Q78" s="4">
        <f t="shared" si="15"/>
        <v>24288.800248684278</v>
      </c>
      <c r="S78" s="15">
        <v>6347.96</v>
      </c>
      <c r="U78" s="4">
        <f t="shared" si="31"/>
        <v>850.6843439328882</v>
      </c>
      <c r="W78" s="4">
        <f t="shared" si="16"/>
        <v>5497.275656067111</v>
      </c>
      <c r="Y78" s="4">
        <f t="shared" si="17"/>
        <v>118238.62891598935</v>
      </c>
      <c r="AA78" s="15">
        <v>2513.77</v>
      </c>
      <c r="AC78" s="4">
        <f t="shared" si="32"/>
        <v>336.86788734026504</v>
      </c>
      <c r="AE78" s="4">
        <f t="shared" si="18"/>
        <v>2176.902112659735</v>
      </c>
      <c r="AG78" s="4">
        <f t="shared" si="19"/>
        <v>46822.06331865154</v>
      </c>
      <c r="BO78" s="15">
        <v>2238.83</v>
      </c>
      <c r="BQ78" s="4">
        <f t="shared" si="37"/>
        <v>300.02102230938453</v>
      </c>
      <c r="BS78" s="4">
        <f t="shared" si="27"/>
        <v>1938.8089776906154</v>
      </c>
      <c r="BU78" s="4">
        <f t="shared" si="28"/>
        <v>41700.61244912895</v>
      </c>
    </row>
    <row r="79" spans="1:73" ht="12.75">
      <c r="A79" s="9">
        <v>65</v>
      </c>
      <c r="E79" s="4"/>
      <c r="G79" s="4"/>
      <c r="K79" s="173">
        <v>1304.02</v>
      </c>
      <c r="M79" s="4">
        <f t="shared" si="30"/>
        <v>166.9855017097044</v>
      </c>
      <c r="O79" s="4">
        <f t="shared" si="14"/>
        <v>1137.0344982902957</v>
      </c>
      <c r="Q79" s="4">
        <f t="shared" si="15"/>
        <v>23151.76575039398</v>
      </c>
      <c r="S79" s="15">
        <v>6347.96</v>
      </c>
      <c r="U79" s="4">
        <f t="shared" si="31"/>
        <v>812.8905737974268</v>
      </c>
      <c r="W79" s="4">
        <f t="shared" si="16"/>
        <v>5535.069426202574</v>
      </c>
      <c r="Y79" s="4">
        <f t="shared" si="17"/>
        <v>112703.55948978677</v>
      </c>
      <c r="AA79" s="15">
        <v>2513.77</v>
      </c>
      <c r="AC79" s="4">
        <f t="shared" si="32"/>
        <v>321.90168531572937</v>
      </c>
      <c r="AE79" s="4">
        <f t="shared" si="18"/>
        <v>2191.8683146842704</v>
      </c>
      <c r="AG79" s="4">
        <f t="shared" si="19"/>
        <v>44630.19500396727</v>
      </c>
      <c r="BO79" s="15">
        <v>2238.83</v>
      </c>
      <c r="BQ79" s="4">
        <f t="shared" si="37"/>
        <v>286.6917105877615</v>
      </c>
      <c r="BS79" s="4">
        <f t="shared" si="27"/>
        <v>1952.1382894122385</v>
      </c>
      <c r="BU79" s="4">
        <f t="shared" si="28"/>
        <v>39748.474159716716</v>
      </c>
    </row>
    <row r="80" spans="1:73" ht="12.75">
      <c r="A80" s="9">
        <v>66</v>
      </c>
      <c r="E80" s="4"/>
      <c r="G80" s="4"/>
      <c r="K80" s="173">
        <v>1304.02</v>
      </c>
      <c r="M80" s="4">
        <f t="shared" si="30"/>
        <v>159.16838953395862</v>
      </c>
      <c r="O80" s="4">
        <f t="shared" si="14"/>
        <v>1144.8516104660414</v>
      </c>
      <c r="Q80" s="4">
        <f t="shared" si="15"/>
        <v>22006.91413992794</v>
      </c>
      <c r="S80" s="15">
        <v>6347.96</v>
      </c>
      <c r="U80" s="4">
        <f t="shared" si="31"/>
        <v>774.8369714922841</v>
      </c>
      <c r="W80" s="4">
        <f t="shared" si="16"/>
        <v>5573.123028507716</v>
      </c>
      <c r="Y80" s="4">
        <f t="shared" si="17"/>
        <v>107130.43646127905</v>
      </c>
      <c r="AA80" s="15">
        <v>2513.77</v>
      </c>
      <c r="AC80" s="4">
        <f t="shared" si="32"/>
        <v>306.832590652275</v>
      </c>
      <c r="AE80" s="4">
        <f t="shared" si="18"/>
        <v>2206.937409347725</v>
      </c>
      <c r="AG80" s="4">
        <f t="shared" si="19"/>
        <v>42423.25759461954</v>
      </c>
      <c r="BO80" s="15">
        <v>2238.83</v>
      </c>
      <c r="BQ80" s="4">
        <f t="shared" si="37"/>
        <v>273.2707598480524</v>
      </c>
      <c r="BS80" s="4">
        <f t="shared" si="27"/>
        <v>1965.5592401519475</v>
      </c>
      <c r="BU80" s="4">
        <f t="shared" si="28"/>
        <v>37782.91491956477</v>
      </c>
    </row>
    <row r="81" spans="1:73" ht="12.75">
      <c r="A81" s="9">
        <v>67</v>
      </c>
      <c r="E81" s="4"/>
      <c r="G81" s="4"/>
      <c r="K81" s="173">
        <v>1304.02</v>
      </c>
      <c r="M81" s="4">
        <f t="shared" si="30"/>
        <v>151.2975347120046</v>
      </c>
      <c r="O81" s="4">
        <f t="shared" si="14"/>
        <v>1152.7224652879954</v>
      </c>
      <c r="Q81" s="4">
        <f t="shared" si="15"/>
        <v>20854.191674639944</v>
      </c>
      <c r="S81" s="15">
        <v>6347.96</v>
      </c>
      <c r="U81" s="4">
        <f t="shared" si="31"/>
        <v>736.5217506712935</v>
      </c>
      <c r="W81" s="4">
        <f t="shared" si="16"/>
        <v>5611.438249328707</v>
      </c>
      <c r="Y81" s="4">
        <f t="shared" si="17"/>
        <v>101518.99821195034</v>
      </c>
      <c r="AA81" s="15">
        <v>2513.77</v>
      </c>
      <c r="AC81" s="4">
        <f t="shared" si="32"/>
        <v>291.6598959630094</v>
      </c>
      <c r="AE81" s="4">
        <f t="shared" si="18"/>
        <v>2222.1101040369904</v>
      </c>
      <c r="AG81" s="4">
        <f t="shared" si="19"/>
        <v>40201.14749058255</v>
      </c>
      <c r="BO81" s="15">
        <v>2238.83</v>
      </c>
      <c r="BQ81" s="4">
        <f t="shared" si="37"/>
        <v>259.75754007200777</v>
      </c>
      <c r="BS81" s="4">
        <f t="shared" si="27"/>
        <v>1979.0724599279922</v>
      </c>
      <c r="BU81" s="4">
        <f t="shared" si="28"/>
        <v>35803.84245963678</v>
      </c>
    </row>
    <row r="82" spans="1:73" ht="12.75">
      <c r="A82" s="9">
        <v>68</v>
      </c>
      <c r="E82" s="4"/>
      <c r="G82" s="4"/>
      <c r="K82" s="173">
        <v>1304.02</v>
      </c>
      <c r="M82" s="4">
        <f t="shared" si="30"/>
        <v>143.37256776314962</v>
      </c>
      <c r="O82" s="4">
        <f t="shared" si="14"/>
        <v>1160.6474322368504</v>
      </c>
      <c r="Q82" s="4">
        <f t="shared" si="15"/>
        <v>19693.54424240309</v>
      </c>
      <c r="S82" s="15">
        <v>6347.96</v>
      </c>
      <c r="U82" s="4">
        <f t="shared" si="31"/>
        <v>697.9431127071585</v>
      </c>
      <c r="W82" s="4">
        <f t="shared" si="16"/>
        <v>5650.016887292842</v>
      </c>
      <c r="Y82" s="4">
        <f t="shared" si="17"/>
        <v>95868.98132465749</v>
      </c>
      <c r="AA82" s="15">
        <v>2513.77</v>
      </c>
      <c r="AC82" s="4">
        <f t="shared" si="32"/>
        <v>276.38288899775506</v>
      </c>
      <c r="AE82" s="4">
        <f t="shared" si="18"/>
        <v>2237.387111002245</v>
      </c>
      <c r="AG82" s="4">
        <f t="shared" si="19"/>
        <v>37963.76037958031</v>
      </c>
      <c r="BO82" s="15">
        <v>2238.83</v>
      </c>
      <c r="BQ82" s="4">
        <f t="shared" si="37"/>
        <v>246.15141691000284</v>
      </c>
      <c r="BS82" s="4">
        <f t="shared" si="27"/>
        <v>1992.6785830899971</v>
      </c>
      <c r="BU82" s="4">
        <f t="shared" si="28"/>
        <v>33811.16387654678</v>
      </c>
    </row>
    <row r="83" spans="1:73" ht="12.75">
      <c r="A83" s="9">
        <v>69</v>
      </c>
      <c r="E83" s="4"/>
      <c r="G83" s="4"/>
      <c r="K83" s="173">
        <v>1304.02</v>
      </c>
      <c r="M83" s="4">
        <f t="shared" si="30"/>
        <v>135.39311666652125</v>
      </c>
      <c r="O83" s="4">
        <f t="shared" si="14"/>
        <v>1168.6268833334786</v>
      </c>
      <c r="Q83" s="4">
        <f t="shared" si="15"/>
        <v>18524.917359069612</v>
      </c>
      <c r="S83" s="15">
        <v>6347.96</v>
      </c>
      <c r="U83" s="4">
        <f t="shared" si="31"/>
        <v>659.0992466070203</v>
      </c>
      <c r="W83" s="4">
        <f t="shared" si="16"/>
        <v>5688.86075339298</v>
      </c>
      <c r="Y83" s="4">
        <f t="shared" si="17"/>
        <v>90180.12057126452</v>
      </c>
      <c r="AA83" s="15">
        <v>2513.77</v>
      </c>
      <c r="AC83" s="4">
        <f t="shared" si="32"/>
        <v>261.00085260961464</v>
      </c>
      <c r="AE83" s="4">
        <f t="shared" si="18"/>
        <v>2252.769147390385</v>
      </c>
      <c r="AG83" s="4">
        <f t="shared" si="19"/>
        <v>35710.991232189925</v>
      </c>
      <c r="BO83" s="15">
        <v>2238.83</v>
      </c>
      <c r="BQ83" s="4">
        <f t="shared" si="37"/>
        <v>232.45175165125912</v>
      </c>
      <c r="BS83" s="4">
        <f t="shared" si="27"/>
        <v>2006.3782483487407</v>
      </c>
      <c r="BU83" s="4">
        <f t="shared" si="28"/>
        <v>31804.78562819804</v>
      </c>
    </row>
    <row r="84" spans="1:73" ht="12.75">
      <c r="A84" s="9">
        <v>70</v>
      </c>
      <c r="E84" s="4"/>
      <c r="G84" s="4"/>
      <c r="K84" s="173">
        <v>1304.02</v>
      </c>
      <c r="M84" s="4">
        <f t="shared" si="30"/>
        <v>127.35880684360359</v>
      </c>
      <c r="O84" s="4">
        <f t="shared" si="14"/>
        <v>1176.6611931563964</v>
      </c>
      <c r="Q84" s="4">
        <f t="shared" si="15"/>
        <v>17348.256165913215</v>
      </c>
      <c r="S84" s="15">
        <v>6347.96</v>
      </c>
      <c r="U84" s="4">
        <f t="shared" si="31"/>
        <v>619.9883289274436</v>
      </c>
      <c r="W84" s="4">
        <f t="shared" si="16"/>
        <v>5727.971671072556</v>
      </c>
      <c r="Y84" s="4">
        <f t="shared" si="17"/>
        <v>84452.14890019195</v>
      </c>
      <c r="AA84" s="15">
        <v>2513.77</v>
      </c>
      <c r="AC84" s="4">
        <f t="shared" si="32"/>
        <v>245.51306472130574</v>
      </c>
      <c r="AE84" s="4">
        <f t="shared" si="18"/>
        <v>2268.256935278694</v>
      </c>
      <c r="AG84" s="4">
        <f t="shared" si="19"/>
        <v>33442.73429691123</v>
      </c>
      <c r="BO84" s="15">
        <v>2238.83</v>
      </c>
      <c r="BQ84" s="4">
        <f t="shared" si="37"/>
        <v>218.6579011938615</v>
      </c>
      <c r="BS84" s="4">
        <f t="shared" si="27"/>
        <v>2020.1720988061384</v>
      </c>
      <c r="BU84" s="4">
        <f t="shared" si="28"/>
        <v>29784.6135293919</v>
      </c>
    </row>
    <row r="85" spans="1:73" ht="12.75">
      <c r="A85" s="9">
        <v>71</v>
      </c>
      <c r="E85" s="4"/>
      <c r="G85" s="4"/>
      <c r="K85" s="173">
        <v>1304.02</v>
      </c>
      <c r="M85" s="4">
        <f t="shared" si="30"/>
        <v>119.26926114065336</v>
      </c>
      <c r="O85" s="4">
        <f t="shared" si="14"/>
        <v>1184.7507388593467</v>
      </c>
      <c r="Q85" s="4">
        <f t="shared" si="15"/>
        <v>16163.505427053868</v>
      </c>
      <c r="S85" s="15">
        <v>6347.96</v>
      </c>
      <c r="U85" s="4">
        <f t="shared" si="31"/>
        <v>580.6085236888197</v>
      </c>
      <c r="W85" s="4">
        <f t="shared" si="16"/>
        <v>5767.351476311181</v>
      </c>
      <c r="Y85" s="4">
        <f t="shared" si="17"/>
        <v>78684.79742388078</v>
      </c>
      <c r="AA85" s="15">
        <v>2513.77</v>
      </c>
      <c r="AC85" s="4">
        <f t="shared" si="32"/>
        <v>229.9187982912647</v>
      </c>
      <c r="AE85" s="4">
        <f t="shared" si="18"/>
        <v>2283.851201708735</v>
      </c>
      <c r="AG85" s="4">
        <f t="shared" si="19"/>
        <v>31158.883095202495</v>
      </c>
      <c r="BO85" s="15">
        <v>2238.83</v>
      </c>
      <c r="BQ85" s="4">
        <f t="shared" si="37"/>
        <v>204.7692180145693</v>
      </c>
      <c r="BS85" s="4">
        <f t="shared" si="27"/>
        <v>2034.0607819854306</v>
      </c>
      <c r="BU85" s="4">
        <f t="shared" si="28"/>
        <v>27750.55274740647</v>
      </c>
    </row>
    <row r="86" spans="1:73" ht="12.75">
      <c r="A86" s="9">
        <v>72</v>
      </c>
      <c r="E86" s="4"/>
      <c r="G86" s="4"/>
      <c r="K86" s="173">
        <v>1304.02</v>
      </c>
      <c r="M86" s="4">
        <f t="shared" si="30"/>
        <v>111.12409981099535</v>
      </c>
      <c r="O86" s="4">
        <f aca="true" t="shared" si="39" ref="O86:O98">K86-M86</f>
        <v>1192.8959001890046</v>
      </c>
      <c r="Q86" s="4">
        <f aca="true" t="shared" si="40" ref="Q86:Q98">Q85-O86</f>
        <v>14970.609526864862</v>
      </c>
      <c r="S86" s="15">
        <v>6347.96</v>
      </c>
      <c r="U86" s="4">
        <f t="shared" si="31"/>
        <v>540.9579822891803</v>
      </c>
      <c r="W86" s="4">
        <f aca="true" t="shared" si="41" ref="W86:W98">S86-U86</f>
        <v>5807.00201771082</v>
      </c>
      <c r="Y86" s="4">
        <f aca="true" t="shared" si="42" ref="Y86:Y98">Y85-W86</f>
        <v>72877.79540616996</v>
      </c>
      <c r="AA86" s="15">
        <v>2513.77</v>
      </c>
      <c r="AC86" s="4">
        <f t="shared" si="32"/>
        <v>214.21732127951717</v>
      </c>
      <c r="AE86" s="4">
        <f aca="true" t="shared" si="43" ref="AE86:AE98">AA86-AC86</f>
        <v>2299.5526787204826</v>
      </c>
      <c r="AG86" s="4">
        <f aca="true" t="shared" si="44" ref="AG86:AG98">AG85-AE86</f>
        <v>28859.33041648201</v>
      </c>
      <c r="BO86" s="15">
        <v>2238.83</v>
      </c>
      <c r="BQ86" s="4">
        <f t="shared" si="37"/>
        <v>190.78505013841948</v>
      </c>
      <c r="BS86" s="4">
        <f aca="true" t="shared" si="45" ref="BS86:BS98">BO86-BQ86</f>
        <v>2048.0449498615803</v>
      </c>
      <c r="BU86" s="4">
        <f aca="true" t="shared" si="46" ref="BU86:BU98">BU85-BS86</f>
        <v>25702.507797544888</v>
      </c>
    </row>
    <row r="87" spans="1:73" ht="12.75">
      <c r="A87" s="9">
        <v>73</v>
      </c>
      <c r="E87" s="4"/>
      <c r="G87" s="4"/>
      <c r="K87" s="173">
        <v>1304.02</v>
      </c>
      <c r="M87" s="4">
        <f aca="true" t="shared" si="47" ref="M87:M98">Q86*M$9</f>
        <v>102.92294049719592</v>
      </c>
      <c r="O87" s="4">
        <f t="shared" si="39"/>
        <v>1201.097059502804</v>
      </c>
      <c r="Q87" s="4">
        <f t="shared" si="40"/>
        <v>13769.512467362058</v>
      </c>
      <c r="S87" s="15">
        <v>6347.96</v>
      </c>
      <c r="U87" s="4">
        <f aca="true" t="shared" si="48" ref="U87:U98">Y86*U$9</f>
        <v>501.0348434174185</v>
      </c>
      <c r="W87" s="4">
        <f t="shared" si="41"/>
        <v>5846.925156582582</v>
      </c>
      <c r="Y87" s="4">
        <f t="shared" si="42"/>
        <v>67030.87024958737</v>
      </c>
      <c r="AA87" s="15">
        <v>2513.77</v>
      </c>
      <c r="AC87" s="4">
        <f aca="true" t="shared" si="49" ref="AC87:AC98">AG86*AC$9</f>
        <v>198.40789661331382</v>
      </c>
      <c r="AE87" s="4">
        <f t="shared" si="43"/>
        <v>2315.362103386686</v>
      </c>
      <c r="AG87" s="4">
        <f t="shared" si="44"/>
        <v>26543.968313095324</v>
      </c>
      <c r="BO87" s="15">
        <v>2238.83</v>
      </c>
      <c r="BQ87" s="4">
        <f aca="true" t="shared" si="50" ref="BQ87:BQ98">BU86*BQ$9</f>
        <v>176.7047411081211</v>
      </c>
      <c r="BS87" s="4">
        <f t="shared" si="45"/>
        <v>2062.1252588918787</v>
      </c>
      <c r="BU87" s="4">
        <f t="shared" si="46"/>
        <v>23640.382538653008</v>
      </c>
    </row>
    <row r="88" spans="1:73" ht="12.75">
      <c r="A88" s="9">
        <v>74</v>
      </c>
      <c r="E88" s="4"/>
      <c r="G88" s="4"/>
      <c r="K88" s="173">
        <v>1304.02</v>
      </c>
      <c r="M88" s="4">
        <f t="shared" si="47"/>
        <v>94.66539821311414</v>
      </c>
      <c r="O88" s="4">
        <f t="shared" si="39"/>
        <v>1209.3546017868857</v>
      </c>
      <c r="Q88" s="4">
        <f t="shared" si="40"/>
        <v>12560.157865575173</v>
      </c>
      <c r="S88" s="15">
        <v>6347.96</v>
      </c>
      <c r="U88" s="4">
        <f t="shared" si="48"/>
        <v>460.8372329659132</v>
      </c>
      <c r="W88" s="4">
        <f t="shared" si="41"/>
        <v>5887.122767034087</v>
      </c>
      <c r="Y88" s="4">
        <f t="shared" si="42"/>
        <v>61143.747482553284</v>
      </c>
      <c r="AA88" s="15">
        <v>2513.77</v>
      </c>
      <c r="AC88" s="4">
        <f t="shared" si="49"/>
        <v>182.48978215253035</v>
      </c>
      <c r="AE88" s="4">
        <f t="shared" si="43"/>
        <v>2331.2802178474694</v>
      </c>
      <c r="AG88" s="4">
        <f t="shared" si="44"/>
        <v>24212.688095247853</v>
      </c>
      <c r="BO88" s="15">
        <v>2238.83</v>
      </c>
      <c r="BQ88" s="4">
        <f t="shared" si="50"/>
        <v>162.52762995323943</v>
      </c>
      <c r="BS88" s="4">
        <f t="shared" si="45"/>
        <v>2076.3023700467606</v>
      </c>
      <c r="BU88" s="4">
        <f t="shared" si="46"/>
        <v>21564.080168606248</v>
      </c>
    </row>
    <row r="89" spans="1:73" ht="12.75">
      <c r="A89" s="9">
        <v>75</v>
      </c>
      <c r="E89" s="4"/>
      <c r="G89" s="4"/>
      <c r="K89" s="173">
        <v>1304.02</v>
      </c>
      <c r="M89" s="4">
        <f t="shared" si="47"/>
        <v>86.35108532582932</v>
      </c>
      <c r="O89" s="4">
        <f t="shared" si="39"/>
        <v>1217.6689146741708</v>
      </c>
      <c r="Q89" s="4">
        <f t="shared" si="40"/>
        <v>11342.488950901003</v>
      </c>
      <c r="S89" s="15">
        <v>6347.96</v>
      </c>
      <c r="U89" s="4">
        <f t="shared" si="48"/>
        <v>420.36326394255383</v>
      </c>
      <c r="W89" s="4">
        <f t="shared" si="41"/>
        <v>5927.596736057446</v>
      </c>
      <c r="Y89" s="4">
        <f t="shared" si="42"/>
        <v>55216.15074649584</v>
      </c>
      <c r="AA89" s="15">
        <v>2513.77</v>
      </c>
      <c r="AC89" s="4">
        <f t="shared" si="49"/>
        <v>166.462230654829</v>
      </c>
      <c r="AE89" s="4">
        <f t="shared" si="43"/>
        <v>2347.307769345171</v>
      </c>
      <c r="AG89" s="4">
        <f t="shared" si="44"/>
        <v>21865.380325902683</v>
      </c>
      <c r="BO89" s="15">
        <v>2238.83</v>
      </c>
      <c r="BQ89" s="4">
        <f t="shared" si="50"/>
        <v>148.25305115916797</v>
      </c>
      <c r="BS89" s="4">
        <f t="shared" si="45"/>
        <v>2090.576948840832</v>
      </c>
      <c r="BU89" s="4">
        <f t="shared" si="46"/>
        <v>19473.503219765415</v>
      </c>
    </row>
    <row r="90" spans="1:73" ht="12.75">
      <c r="A90" s="9">
        <v>76</v>
      </c>
      <c r="E90" s="4"/>
      <c r="G90" s="4"/>
      <c r="K90" s="173">
        <v>1304.02</v>
      </c>
      <c r="M90" s="4">
        <f t="shared" si="47"/>
        <v>77.9796115374444</v>
      </c>
      <c r="O90" s="4">
        <f t="shared" si="39"/>
        <v>1226.0403884625555</v>
      </c>
      <c r="Q90" s="4">
        <f t="shared" si="40"/>
        <v>10116.448562438447</v>
      </c>
      <c r="S90" s="15">
        <v>6347.96</v>
      </c>
      <c r="U90" s="4">
        <f t="shared" si="48"/>
        <v>379.6110363821589</v>
      </c>
      <c r="W90" s="4">
        <f t="shared" si="41"/>
        <v>5968.348963617841</v>
      </c>
      <c r="Y90" s="4">
        <f t="shared" si="42"/>
        <v>49247.801782878</v>
      </c>
      <c r="AA90" s="15">
        <v>2513.77</v>
      </c>
      <c r="AC90" s="4">
        <f t="shared" si="49"/>
        <v>150.32448974058096</v>
      </c>
      <c r="AE90" s="4">
        <f t="shared" si="43"/>
        <v>2363.445510259419</v>
      </c>
      <c r="AG90" s="4">
        <f t="shared" si="44"/>
        <v>19501.934815643264</v>
      </c>
      <c r="BO90" s="15">
        <v>2238.83</v>
      </c>
      <c r="BQ90" s="4">
        <f t="shared" si="50"/>
        <v>133.88033463588724</v>
      </c>
      <c r="BS90" s="4">
        <f t="shared" si="45"/>
        <v>2104.9496653641127</v>
      </c>
      <c r="BU90" s="4">
        <f t="shared" si="46"/>
        <v>17368.553554401304</v>
      </c>
    </row>
    <row r="91" spans="1:73" ht="12.75">
      <c r="A91" s="9">
        <v>77</v>
      </c>
      <c r="E91" s="4"/>
      <c r="G91" s="4"/>
      <c r="K91" s="173">
        <v>1304.02</v>
      </c>
      <c r="M91" s="4">
        <f t="shared" si="47"/>
        <v>69.55058386676433</v>
      </c>
      <c r="O91" s="4">
        <f t="shared" si="39"/>
        <v>1234.4694161332357</v>
      </c>
      <c r="Q91" s="4">
        <f t="shared" si="40"/>
        <v>8881.979146305212</v>
      </c>
      <c r="S91" s="15">
        <v>6347.96</v>
      </c>
      <c r="U91" s="4">
        <f t="shared" si="48"/>
        <v>338.57863725728623</v>
      </c>
      <c r="W91" s="4">
        <f t="shared" si="41"/>
        <v>6009.3813627427135</v>
      </c>
      <c r="Y91" s="4">
        <f t="shared" si="42"/>
        <v>43238.420420135284</v>
      </c>
      <c r="AA91" s="15">
        <v>2513.77</v>
      </c>
      <c r="AC91" s="4">
        <f t="shared" si="49"/>
        <v>134.07580185754745</v>
      </c>
      <c r="AE91" s="4">
        <f t="shared" si="43"/>
        <v>2379.6941981424525</v>
      </c>
      <c r="AG91" s="4">
        <f t="shared" si="44"/>
        <v>17122.24061750081</v>
      </c>
      <c r="BO91" s="15">
        <v>2238.83</v>
      </c>
      <c r="BQ91" s="4">
        <f t="shared" si="50"/>
        <v>119.40880568650897</v>
      </c>
      <c r="BS91" s="4">
        <f t="shared" si="45"/>
        <v>2119.421194313491</v>
      </c>
      <c r="BU91" s="4">
        <f t="shared" si="46"/>
        <v>15249.132360087813</v>
      </c>
    </row>
    <row r="92" spans="1:73" ht="12.75">
      <c r="A92" s="9">
        <v>78</v>
      </c>
      <c r="E92" s="4"/>
      <c r="G92" s="4"/>
      <c r="K92" s="173">
        <v>1304.02</v>
      </c>
      <c r="M92" s="4">
        <f t="shared" si="47"/>
        <v>61.06360663084833</v>
      </c>
      <c r="O92" s="4">
        <f t="shared" si="39"/>
        <v>1242.9563933691516</v>
      </c>
      <c r="Q92" s="4">
        <f t="shared" si="40"/>
        <v>7639.02275293606</v>
      </c>
      <c r="S92" s="15">
        <v>6347.96</v>
      </c>
      <c r="U92" s="4">
        <f t="shared" si="48"/>
        <v>297.26414038843006</v>
      </c>
      <c r="W92" s="4">
        <f t="shared" si="41"/>
        <v>6050.69585961157</v>
      </c>
      <c r="Y92" s="4">
        <f t="shared" si="42"/>
        <v>37187.72456052371</v>
      </c>
      <c r="AA92" s="15">
        <v>2513.77</v>
      </c>
      <c r="AC92" s="4">
        <f t="shared" si="49"/>
        <v>117.71540424531807</v>
      </c>
      <c r="AE92" s="4">
        <f t="shared" si="43"/>
        <v>2396.054595754682</v>
      </c>
      <c r="AG92" s="4">
        <f t="shared" si="44"/>
        <v>14726.186021746129</v>
      </c>
      <c r="BO92" s="15">
        <v>2238.83</v>
      </c>
      <c r="BQ92" s="4">
        <f t="shared" si="50"/>
        <v>104.83778497560371</v>
      </c>
      <c r="BS92" s="4">
        <f t="shared" si="45"/>
        <v>2133.992215024396</v>
      </c>
      <c r="BU92" s="4">
        <f t="shared" si="46"/>
        <v>13115.140145063417</v>
      </c>
    </row>
    <row r="93" spans="1:73" ht="12.75">
      <c r="A93" s="9">
        <v>79</v>
      </c>
      <c r="E93" s="4"/>
      <c r="G93" s="4"/>
      <c r="K93" s="173">
        <v>1304.02</v>
      </c>
      <c r="M93" s="4">
        <f t="shared" si="47"/>
        <v>52.518281426435415</v>
      </c>
      <c r="O93" s="4">
        <f t="shared" si="39"/>
        <v>1251.5017185735646</v>
      </c>
      <c r="Q93" s="4">
        <f t="shared" si="40"/>
        <v>6387.521034362495</v>
      </c>
      <c r="S93" s="15">
        <v>6347.96</v>
      </c>
      <c r="U93" s="4">
        <f t="shared" si="48"/>
        <v>255.6656063536005</v>
      </c>
      <c r="W93" s="4">
        <f t="shared" si="41"/>
        <v>6092.2943936464</v>
      </c>
      <c r="Y93" s="4">
        <f t="shared" si="42"/>
        <v>31095.43016687731</v>
      </c>
      <c r="AA93" s="15">
        <v>2513.77</v>
      </c>
      <c r="AC93" s="4">
        <f t="shared" si="49"/>
        <v>101.24252889950463</v>
      </c>
      <c r="AE93" s="4">
        <f t="shared" si="43"/>
        <v>2412.5274711004954</v>
      </c>
      <c r="AG93" s="4">
        <f t="shared" si="44"/>
        <v>12313.658550645634</v>
      </c>
      <c r="BO93" s="15">
        <v>2238.83</v>
      </c>
      <c r="BQ93" s="4">
        <f t="shared" si="50"/>
        <v>90.166588497311</v>
      </c>
      <c r="BS93" s="4">
        <f t="shared" si="45"/>
        <v>2148.663411502689</v>
      </c>
      <c r="BU93" s="4">
        <f t="shared" si="46"/>
        <v>10966.476733560728</v>
      </c>
    </row>
    <row r="94" spans="1:73" ht="12.75">
      <c r="A94" s="9">
        <v>80</v>
      </c>
      <c r="E94" s="4"/>
      <c r="G94" s="4"/>
      <c r="K94" s="173">
        <v>1304.02</v>
      </c>
      <c r="M94" s="4">
        <f t="shared" si="47"/>
        <v>43.914207111242156</v>
      </c>
      <c r="O94" s="4">
        <f t="shared" si="39"/>
        <v>1260.1057928887578</v>
      </c>
      <c r="Q94" s="4">
        <f t="shared" si="40"/>
        <v>5127.415241473737</v>
      </c>
      <c r="S94" s="15">
        <v>6347.96</v>
      </c>
      <c r="U94" s="4">
        <f t="shared" si="48"/>
        <v>213.78108239728152</v>
      </c>
      <c r="W94" s="4">
        <f t="shared" si="41"/>
        <v>6134.178917602719</v>
      </c>
      <c r="Y94" s="4">
        <f t="shared" si="42"/>
        <v>24961.251249274592</v>
      </c>
      <c r="AA94" s="15">
        <v>2513.77</v>
      </c>
      <c r="AC94" s="4">
        <f t="shared" si="49"/>
        <v>84.65640253568874</v>
      </c>
      <c r="AE94" s="4">
        <f t="shared" si="43"/>
        <v>2429.113597464311</v>
      </c>
      <c r="AG94" s="4">
        <f t="shared" si="44"/>
        <v>9884.544953181323</v>
      </c>
      <c r="BO94" s="15">
        <v>2238.83</v>
      </c>
      <c r="BQ94" s="4">
        <f t="shared" si="50"/>
        <v>75.39452754323001</v>
      </c>
      <c r="BS94" s="4">
        <f t="shared" si="45"/>
        <v>2163.4354724567697</v>
      </c>
      <c r="BU94" s="4">
        <f t="shared" si="46"/>
        <v>8803.04126110396</v>
      </c>
    </row>
    <row r="95" spans="1:73" ht="12.75">
      <c r="A95" s="9">
        <v>81</v>
      </c>
      <c r="E95" s="4"/>
      <c r="G95" s="4"/>
      <c r="K95" s="173">
        <v>1304.02</v>
      </c>
      <c r="M95" s="4">
        <f t="shared" si="47"/>
        <v>35.250979785131946</v>
      </c>
      <c r="O95" s="4">
        <f t="shared" si="39"/>
        <v>1268.769020214868</v>
      </c>
      <c r="Q95" s="4">
        <f t="shared" si="40"/>
        <v>3858.6462212588694</v>
      </c>
      <c r="S95" s="15">
        <v>6347.96</v>
      </c>
      <c r="U95" s="4">
        <f t="shared" si="48"/>
        <v>171.6086023387628</v>
      </c>
      <c r="W95" s="4">
        <f t="shared" si="41"/>
        <v>6176.351397661238</v>
      </c>
      <c r="Y95" s="4">
        <f t="shared" si="42"/>
        <v>18784.899851613354</v>
      </c>
      <c r="AA95" s="15">
        <v>2513.77</v>
      </c>
      <c r="AC95" s="4">
        <f t="shared" si="49"/>
        <v>67.9562465531216</v>
      </c>
      <c r="AE95" s="4">
        <f t="shared" si="43"/>
        <v>2445.8137534468783</v>
      </c>
      <c r="AG95" s="4">
        <f t="shared" si="44"/>
        <v>7438.731199734444</v>
      </c>
      <c r="BO95" s="15">
        <v>2238.83</v>
      </c>
      <c r="BQ95" s="4">
        <f t="shared" si="50"/>
        <v>60.52090867008972</v>
      </c>
      <c r="BS95" s="4">
        <f t="shared" si="45"/>
        <v>2178.30909132991</v>
      </c>
      <c r="BU95" s="4">
        <f t="shared" si="46"/>
        <v>6624.732169774049</v>
      </c>
    </row>
    <row r="96" spans="1:73" ht="12.75">
      <c r="A96" s="9">
        <v>82</v>
      </c>
      <c r="E96" s="4"/>
      <c r="G96" s="4"/>
      <c r="K96" s="173">
        <v>1304.02</v>
      </c>
      <c r="M96" s="4">
        <f t="shared" si="47"/>
        <v>26.52819277115473</v>
      </c>
      <c r="O96" s="4">
        <f t="shared" si="39"/>
        <v>1277.4918072288453</v>
      </c>
      <c r="Q96" s="4">
        <f t="shared" si="40"/>
        <v>2581.154414030024</v>
      </c>
      <c r="S96" s="15">
        <v>6347.96</v>
      </c>
      <c r="U96" s="4">
        <f t="shared" si="48"/>
        <v>129.14618647984182</v>
      </c>
      <c r="W96" s="4">
        <f t="shared" si="41"/>
        <v>6218.813813520158</v>
      </c>
      <c r="Y96" s="4">
        <f t="shared" si="42"/>
        <v>12566.086038093195</v>
      </c>
      <c r="AA96" s="15">
        <v>2513.77</v>
      </c>
      <c r="AC96" s="4">
        <f t="shared" si="49"/>
        <v>51.141276998174305</v>
      </c>
      <c r="AE96" s="4">
        <f t="shared" si="43"/>
        <v>2462.6287230018256</v>
      </c>
      <c r="AG96" s="4">
        <f t="shared" si="44"/>
        <v>4976.102476732618</v>
      </c>
      <c r="BO96" s="15">
        <v>2238.83</v>
      </c>
      <c r="BQ96" s="4">
        <f t="shared" si="50"/>
        <v>45.545033667196584</v>
      </c>
      <c r="BS96" s="4">
        <f t="shared" si="45"/>
        <v>2193.2849663328034</v>
      </c>
      <c r="BU96" s="4">
        <f t="shared" si="46"/>
        <v>4431.447203441246</v>
      </c>
    </row>
    <row r="97" spans="1:73" ht="12.75">
      <c r="A97" s="9">
        <v>83</v>
      </c>
      <c r="E97" s="4"/>
      <c r="G97" s="4"/>
      <c r="K97" s="173">
        <v>1304.02</v>
      </c>
      <c r="M97" s="4">
        <f t="shared" si="47"/>
        <v>17.745436596456415</v>
      </c>
      <c r="O97" s="4">
        <f t="shared" si="39"/>
        <v>1286.2745634035437</v>
      </c>
      <c r="Q97" s="4">
        <f t="shared" si="40"/>
        <v>1294.8798506264802</v>
      </c>
      <c r="S97" s="15">
        <v>6347.96</v>
      </c>
      <c r="U97" s="4">
        <f t="shared" si="48"/>
        <v>86.39184151189072</v>
      </c>
      <c r="W97" s="4">
        <f t="shared" si="41"/>
        <v>6261.5681584881095</v>
      </c>
      <c r="Y97" s="4">
        <f t="shared" si="42"/>
        <v>6304.517879605086</v>
      </c>
      <c r="AA97" s="15">
        <v>2513.77</v>
      </c>
      <c r="AC97" s="4">
        <f t="shared" si="49"/>
        <v>34.21070452753675</v>
      </c>
      <c r="AE97" s="4">
        <f t="shared" si="43"/>
        <v>2479.5592954724634</v>
      </c>
      <c r="AG97" s="4">
        <f t="shared" si="44"/>
        <v>2496.5431812601546</v>
      </c>
      <c r="BO97" s="15">
        <v>2238.83</v>
      </c>
      <c r="BQ97" s="4">
        <f t="shared" si="50"/>
        <v>30.466199523658563</v>
      </c>
      <c r="BS97" s="4">
        <f t="shared" si="45"/>
        <v>2208.3638004763416</v>
      </c>
      <c r="BU97" s="4">
        <f t="shared" si="46"/>
        <v>2223.083402964904</v>
      </c>
    </row>
    <row r="98" spans="1:73" ht="12.75">
      <c r="A98" s="9">
        <v>84</v>
      </c>
      <c r="E98" s="4"/>
      <c r="G98" s="4"/>
      <c r="K98" s="173">
        <v>1304.02</v>
      </c>
      <c r="M98" s="4">
        <f t="shared" si="47"/>
        <v>8.902298973057052</v>
      </c>
      <c r="O98" s="4">
        <f t="shared" si="39"/>
        <v>1295.117701026943</v>
      </c>
      <c r="Q98" s="4">
        <f t="shared" si="40"/>
        <v>-0.23785040046277572</v>
      </c>
      <c r="S98" s="15">
        <v>6347.96</v>
      </c>
      <c r="U98" s="32">
        <f t="shared" si="48"/>
        <v>43.343560422284966</v>
      </c>
      <c r="W98" s="4">
        <f t="shared" si="41"/>
        <v>6304.616439577715</v>
      </c>
      <c r="Y98" s="4">
        <f t="shared" si="42"/>
        <v>-0.09855997262911842</v>
      </c>
      <c r="AA98" s="15">
        <v>2513.77</v>
      </c>
      <c r="AC98" s="4">
        <f t="shared" si="49"/>
        <v>17.163734371163564</v>
      </c>
      <c r="AE98" s="4">
        <f t="shared" si="43"/>
        <v>2496.6062656288364</v>
      </c>
      <c r="AG98" s="4">
        <f t="shared" si="44"/>
        <v>-0.06308436868175704</v>
      </c>
      <c r="BO98" s="15">
        <v>2238.83</v>
      </c>
      <c r="BQ98" s="4">
        <f t="shared" si="50"/>
        <v>15.283698395383716</v>
      </c>
      <c r="BS98" s="4">
        <f t="shared" si="45"/>
        <v>2223.546301604616</v>
      </c>
      <c r="BU98" s="4">
        <f t="shared" si="46"/>
        <v>-0.4628986397119661</v>
      </c>
    </row>
    <row r="99" spans="3:79" ht="12.75">
      <c r="C99" s="19"/>
      <c r="E99" s="19"/>
      <c r="G99" s="19"/>
      <c r="K99" s="53"/>
      <c r="M99" s="23"/>
      <c r="O99" s="23"/>
      <c r="S99" s="16"/>
      <c r="U99" s="23"/>
      <c r="W99" s="23"/>
      <c r="AA99" s="16"/>
      <c r="AC99" s="23"/>
      <c r="AE99" s="23"/>
      <c r="AI99" s="16"/>
      <c r="AK99" s="23"/>
      <c r="AM99" s="23"/>
      <c r="AQ99" s="16"/>
      <c r="AS99" s="23"/>
      <c r="AU99" s="23"/>
      <c r="AY99" s="16"/>
      <c r="BA99" s="23"/>
      <c r="BC99" s="23"/>
      <c r="BG99" s="16"/>
      <c r="BI99" s="23"/>
      <c r="BK99" s="23"/>
      <c r="BO99" s="16"/>
      <c r="BQ99" s="23"/>
      <c r="BS99" s="23"/>
      <c r="BW99" s="16"/>
      <c r="BY99" s="23"/>
      <c r="CA99" s="23"/>
    </row>
    <row r="100" spans="51:75" ht="12.75">
      <c r="AY100" s="15"/>
      <c r="BW100" s="15"/>
    </row>
    <row r="101" spans="3:79" ht="13.5" thickBot="1">
      <c r="C101" s="31">
        <f>C19+SUM(C21:C98)</f>
        <v>195803.99999999983</v>
      </c>
      <c r="E101" s="31">
        <f>E19+SUM(E21:E98)</f>
        <v>35804.01970603432</v>
      </c>
      <c r="G101" s="31">
        <f>G19+SUM(G21:G98)</f>
        <v>159999.98029396572</v>
      </c>
      <c r="K101" s="31">
        <f>K19+SUM(K21:K98)</f>
        <v>109537.68000000004</v>
      </c>
      <c r="M101" s="31">
        <f>M19+SUM(M21:M98)</f>
        <v>26537.442149599552</v>
      </c>
      <c r="O101" s="31">
        <f>O19+SUM(O21:O98)</f>
        <v>83000.23785040043</v>
      </c>
      <c r="S101" s="31">
        <f>S19+SUM(S21:S98)</f>
        <v>533228.6400000006</v>
      </c>
      <c r="U101" s="31">
        <f>U19+SUM(U21:U98)</f>
        <v>129184.5414400275</v>
      </c>
      <c r="W101" s="31">
        <f>W19+SUM(W21:W98)</f>
        <v>404044.09855997236</v>
      </c>
      <c r="AA101" s="31">
        <f>AA19+SUM(AA21:AA98)</f>
        <v>211156.6799999998</v>
      </c>
      <c r="AC101" s="31">
        <f>AC19+SUM(AC21:AC98)</f>
        <v>51156.61691563126</v>
      </c>
      <c r="AE101" s="31">
        <f>AE19+SUM(AE21:AE98)</f>
        <v>160000.0630843687</v>
      </c>
      <c r="AI101" s="31">
        <f>AI19+SUM(AI21:AI98)</f>
        <v>138286.79999999996</v>
      </c>
      <c r="AK101" s="31">
        <f>AK19+SUM(AK21:AK98)</f>
        <v>25286.53657619874</v>
      </c>
      <c r="AM101" s="31">
        <f>AM19+SUM(AM21:AM98)</f>
        <v>113000.26342380124</v>
      </c>
      <c r="AQ101" s="31">
        <f>AQ19+SUM(AQ21:AQ98)</f>
        <v>592552.1999999998</v>
      </c>
      <c r="AS101" s="31">
        <f>AS19+SUM(AS21:AS98)</f>
        <v>108351.83437889809</v>
      </c>
      <c r="AU101" s="31">
        <f>AU19+SUM(AU21:AU98)</f>
        <v>484200.36562110204</v>
      </c>
      <c r="AY101" s="31">
        <f>AY19+SUM(AY21:AY98)</f>
        <v>88111.79999999996</v>
      </c>
      <c r="BA101" s="31">
        <f>BA19+SUM(BA21:BA98)</f>
        <v>16111.808867715432</v>
      </c>
      <c r="BC101" s="31">
        <f>BC19+SUM(BC21:BC98)</f>
        <v>71999.99113228457</v>
      </c>
      <c r="BG101" s="31">
        <f>BG19+SUM(BG21:BG98)</f>
        <v>183566.40000000008</v>
      </c>
      <c r="BI101" s="31">
        <f>BI19+SUM(BI21:BI98)</f>
        <v>33566.23358028183</v>
      </c>
      <c r="BK101" s="31">
        <f>BK19+SUM(BK21:BK98)</f>
        <v>150000.16641971818</v>
      </c>
      <c r="BO101" s="31">
        <f>BO19+SUM(BO21:BO98)</f>
        <v>188061.71999999986</v>
      </c>
      <c r="BQ101" s="31">
        <f>BQ19+SUM(BQ21:BQ98)</f>
        <v>45561.25710136032</v>
      </c>
      <c r="BS101" s="31">
        <f>BS19+SUM(BS21:BS98)</f>
        <v>142500.46289863967</v>
      </c>
      <c r="BW101" s="31">
        <f>BW16+SUM(BW18:BW98)</f>
        <v>685325.9999999994</v>
      </c>
      <c r="BY101" s="31">
        <f>BY16+SUM(BY18:BY98)</f>
        <v>125316.3620295402</v>
      </c>
      <c r="CA101" s="31">
        <f>CA16+SUM(CA18:CA98)</f>
        <v>560009.6379704598</v>
      </c>
    </row>
    <row r="102" ht="13.5" thickTop="1"/>
  </sheetData>
  <printOptions/>
  <pageMargins left="0" right="0" top="0.25" bottom="0.75" header="0.5" footer="0.5"/>
  <pageSetup horizontalDpi="300" verticalDpi="300" orientation="portrait" scale="90" r:id="rId1"/>
  <headerFooter alignWithMargins="0">
    <oddFooter>&amp;C&amp;A.&amp;P</oddFooter>
  </headerFooter>
  <colBreaks count="2" manualBreakCount="2">
    <brk id="50" max="65535" man="1"/>
    <brk id="6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4">
      <selection activeCell="J17" sqref="J17"/>
    </sheetView>
  </sheetViews>
  <sheetFormatPr defaultColWidth="9.140625" defaultRowHeight="12.75"/>
  <cols>
    <col min="1" max="2" width="3.7109375" style="0" customWidth="1"/>
    <col min="8" max="8" width="12.7109375" style="0" customWidth="1"/>
    <col min="9" max="10" width="10.421875" style="4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6" ht="12.75">
      <c r="G6" s="62" t="s">
        <v>208</v>
      </c>
    </row>
    <row r="11" spans="1:11" ht="12.75">
      <c r="A11" s="68" t="s">
        <v>206</v>
      </c>
      <c r="B11" s="65"/>
      <c r="C11" s="65"/>
      <c r="D11" s="65"/>
      <c r="E11" s="65"/>
      <c r="F11" s="65"/>
      <c r="G11" s="65"/>
      <c r="H11" s="65"/>
      <c r="I11" s="67"/>
      <c r="J11" s="67">
        <v>214498</v>
      </c>
      <c r="K11" s="87" t="s">
        <v>213</v>
      </c>
    </row>
    <row r="15" spans="1:11" ht="12.75">
      <c r="A15" s="68" t="s">
        <v>207</v>
      </c>
      <c r="B15" s="65"/>
      <c r="C15" s="65"/>
      <c r="D15" s="65"/>
      <c r="E15" s="65"/>
      <c r="F15" s="65"/>
      <c r="G15" s="65"/>
      <c r="H15" s="65"/>
      <c r="I15" s="67"/>
      <c r="J15" s="67">
        <v>1117414</v>
      </c>
      <c r="K15" s="87" t="s">
        <v>214</v>
      </c>
    </row>
    <row r="16" spans="1:10" ht="12.75">
      <c r="A16" s="91" t="s">
        <v>565</v>
      </c>
      <c r="B16" s="91"/>
      <c r="C16" s="91"/>
      <c r="D16" s="91"/>
      <c r="E16" s="91"/>
      <c r="J16" s="84">
        <f>20491.3+4861.75+4646.95</f>
        <v>30000</v>
      </c>
    </row>
    <row r="17" ht="12.75">
      <c r="B17" s="141" t="s">
        <v>456</v>
      </c>
    </row>
    <row r="19" spans="1:5" ht="12.75">
      <c r="A19" s="70" t="s">
        <v>190</v>
      </c>
      <c r="B19" s="65"/>
      <c r="C19" s="65"/>
      <c r="D19" s="65"/>
      <c r="E19" s="65"/>
    </row>
    <row r="21" ht="12.75">
      <c r="B21" s="1" t="s">
        <v>146</v>
      </c>
    </row>
    <row r="22" ht="12.75">
      <c r="B22" s="1" t="s">
        <v>192</v>
      </c>
    </row>
    <row r="23" ht="12.75">
      <c r="B23" s="1" t="s">
        <v>211</v>
      </c>
    </row>
    <row r="24" ht="12.75">
      <c r="B24" s="1" t="s">
        <v>191</v>
      </c>
    </row>
    <row r="25" ht="12.75">
      <c r="B25" s="1"/>
    </row>
    <row r="26" ht="12.75">
      <c r="C26" t="s">
        <v>147</v>
      </c>
    </row>
    <row r="27" spans="4:9" ht="12.75">
      <c r="D27" t="s">
        <v>148</v>
      </c>
      <c r="I27" s="4">
        <v>2629802</v>
      </c>
    </row>
    <row r="29" ht="12.75">
      <c r="C29" t="s">
        <v>149</v>
      </c>
    </row>
    <row r="31" spans="4:8" ht="12.75">
      <c r="D31" t="s">
        <v>150</v>
      </c>
      <c r="H31" s="4">
        <v>7369255</v>
      </c>
    </row>
    <row r="32" ht="12.75">
      <c r="H32" s="4"/>
    </row>
    <row r="33" spans="4:8" ht="12.75">
      <c r="D33" t="s">
        <v>151</v>
      </c>
      <c r="H33" s="44">
        <v>0.3</v>
      </c>
    </row>
    <row r="35" ht="12.75">
      <c r="I35" s="23">
        <f>H31*H33</f>
        <v>2210776.5</v>
      </c>
    </row>
    <row r="37" spans="4:11" ht="12.75">
      <c r="D37" s="65" t="s">
        <v>152</v>
      </c>
      <c r="E37" s="65"/>
      <c r="F37" s="65"/>
      <c r="G37" s="65"/>
      <c r="H37" s="65"/>
      <c r="I37" s="67"/>
      <c r="J37" s="71">
        <f>I27-I35</f>
        <v>419025.5</v>
      </c>
      <c r="K37" s="87" t="s">
        <v>216</v>
      </c>
    </row>
    <row r="38" ht="12.75">
      <c r="J38" s="23"/>
    </row>
    <row r="39" ht="12.75">
      <c r="I39"/>
    </row>
    <row r="40" spans="2:10" ht="13.5" thickBot="1">
      <c r="B40" t="s">
        <v>175</v>
      </c>
      <c r="I40"/>
      <c r="J40" s="149">
        <f>SUM(J16:J36)</f>
        <v>30000</v>
      </c>
    </row>
    <row r="41" ht="13.5" thickTop="1">
      <c r="J41" s="90" t="s">
        <v>286</v>
      </c>
    </row>
    <row r="43" spans="3:4" ht="12.75">
      <c r="C43" s="87" t="s">
        <v>213</v>
      </c>
      <c r="D43" t="s">
        <v>217</v>
      </c>
    </row>
    <row r="44" spans="3:4" ht="12.75">
      <c r="C44" s="63"/>
      <c r="D44" t="s">
        <v>218</v>
      </c>
    </row>
    <row r="45" spans="3:4" ht="12.75">
      <c r="C45" s="63"/>
      <c r="D45" t="s">
        <v>298</v>
      </c>
    </row>
    <row r="46" spans="3:4" ht="12.75">
      <c r="C46" s="87" t="s">
        <v>214</v>
      </c>
      <c r="D46" t="s">
        <v>262</v>
      </c>
    </row>
    <row r="47" spans="3:4" ht="12.75">
      <c r="C47" s="63"/>
      <c r="D47" t="s">
        <v>263</v>
      </c>
    </row>
    <row r="48" spans="3:4" ht="12.75">
      <c r="C48" s="63"/>
      <c r="D48" t="s">
        <v>264</v>
      </c>
    </row>
    <row r="49" spans="3:4" ht="12.75">
      <c r="C49" s="63"/>
      <c r="D49" t="s">
        <v>265</v>
      </c>
    </row>
    <row r="50" spans="3:4" ht="12.75">
      <c r="C50" s="87" t="s">
        <v>216</v>
      </c>
      <c r="D50" t="s">
        <v>261</v>
      </c>
    </row>
    <row r="51" ht="12.75">
      <c r="D51" t="s">
        <v>299</v>
      </c>
    </row>
    <row r="53" spans="3:4" ht="12.75">
      <c r="C53" s="91"/>
      <c r="D53" t="s">
        <v>300</v>
      </c>
    </row>
    <row r="54" ht="12.75">
      <c r="D54" t="s">
        <v>449</v>
      </c>
    </row>
  </sheetData>
  <printOptions/>
  <pageMargins left="0.25" right="0.25" top="0.5" bottom="0.75" header="0.5" footer="0.5"/>
  <pageSetup horizontalDpi="600" verticalDpi="600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6">
      <selection activeCell="B28" sqref="B28"/>
    </sheetView>
  </sheetViews>
  <sheetFormatPr defaultColWidth="9.140625" defaultRowHeight="12.75"/>
  <cols>
    <col min="1" max="1" width="3.7109375" style="0" customWidth="1"/>
    <col min="9" max="9" width="10.28125" style="4" customWidth="1"/>
    <col min="10" max="10" width="1.7109375" style="0" customWidth="1"/>
    <col min="11" max="11" width="10.421875" style="0" customWidth="1"/>
    <col min="12" max="12" width="1.7109375" style="0" customWidth="1"/>
    <col min="13" max="13" width="11.28125" style="0" bestFit="1" customWidth="1"/>
    <col min="14" max="14" width="1.7109375" style="0" customWidth="1"/>
    <col min="15" max="15" width="10.7109375" style="0" customWidth="1"/>
    <col min="16" max="16" width="1.7109375" style="0" customWidth="1"/>
    <col min="17" max="17" width="10.140625" style="0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spans="9:17" ht="12.75">
      <c r="I9" s="23"/>
      <c r="J9" s="19"/>
      <c r="K9" s="19"/>
      <c r="L9" s="19"/>
      <c r="M9" s="14" t="s">
        <v>65</v>
      </c>
      <c r="N9" s="19"/>
      <c r="O9" s="19"/>
      <c r="P9" s="19"/>
      <c r="Q9" s="19"/>
    </row>
    <row r="11" ht="12.75">
      <c r="I11" s="26" t="s">
        <v>56</v>
      </c>
    </row>
    <row r="12" spans="9:17" ht="12.75">
      <c r="I12" s="5" t="s">
        <v>57</v>
      </c>
      <c r="K12" s="3" t="s">
        <v>51</v>
      </c>
      <c r="M12" s="3" t="s">
        <v>51</v>
      </c>
      <c r="O12" s="3" t="s">
        <v>51</v>
      </c>
      <c r="Q12" s="3" t="s">
        <v>51</v>
      </c>
    </row>
    <row r="13" spans="9:17" ht="12.75">
      <c r="I13" s="7" t="s">
        <v>58</v>
      </c>
      <c r="K13" s="24" t="s">
        <v>52</v>
      </c>
      <c r="M13" s="24" t="s">
        <v>53</v>
      </c>
      <c r="O13" s="24" t="s">
        <v>54</v>
      </c>
      <c r="Q13" s="24" t="s">
        <v>55</v>
      </c>
    </row>
    <row r="15" spans="2:9" ht="12.75">
      <c r="B15" t="s">
        <v>76</v>
      </c>
      <c r="I15" s="4">
        <v>959000</v>
      </c>
    </row>
    <row r="17" spans="2:9" ht="12.75">
      <c r="B17" t="s">
        <v>194</v>
      </c>
      <c r="H17" s="87">
        <v>1</v>
      </c>
      <c r="I17" s="23">
        <v>123344</v>
      </c>
    </row>
    <row r="19" spans="2:18" ht="12.75">
      <c r="B19" t="s">
        <v>63</v>
      </c>
      <c r="I19" s="4">
        <f>I15+I17</f>
        <v>1082344</v>
      </c>
      <c r="K19" s="4">
        <f>I19</f>
        <v>1082344</v>
      </c>
      <c r="M19" s="4">
        <f>K23</f>
        <v>1084357.1598399999</v>
      </c>
      <c r="O19" s="4">
        <f>M23</f>
        <v>1100080.3386576797</v>
      </c>
      <c r="Q19" s="4">
        <f>O23</f>
        <v>1130002.5238691685</v>
      </c>
      <c r="R19" s="87"/>
    </row>
    <row r="21" spans="2:17" ht="12.75">
      <c r="B21" t="s">
        <v>193</v>
      </c>
      <c r="K21" s="19">
        <v>1.00186</v>
      </c>
      <c r="M21" s="19">
        <v>1.0145</v>
      </c>
      <c r="O21" s="19">
        <v>1.0272</v>
      </c>
      <c r="Q21" s="19">
        <v>1.0296</v>
      </c>
    </row>
    <row r="23" spans="2:17" ht="12.75">
      <c r="B23" s="10" t="s">
        <v>64</v>
      </c>
      <c r="K23" s="4">
        <f>K19*K21</f>
        <v>1084357.1598399999</v>
      </c>
      <c r="M23" s="4">
        <f>M19*M21</f>
        <v>1100080.3386576797</v>
      </c>
      <c r="O23" s="4">
        <f>O19*O21</f>
        <v>1130002.5238691685</v>
      </c>
      <c r="Q23" s="4">
        <f>Q19*Q21</f>
        <v>1163450.5985756959</v>
      </c>
    </row>
    <row r="24" ht="12.75">
      <c r="Q24" s="89" t="s">
        <v>286</v>
      </c>
    </row>
    <row r="29" spans="1:2" ht="12.75">
      <c r="A29" s="87">
        <v>1</v>
      </c>
      <c r="B29" t="s">
        <v>278</v>
      </c>
    </row>
  </sheetData>
  <printOptions/>
  <pageMargins left="0.25" right="0.25" top="0.25" bottom="0.75" header="0.5" footer="0.5"/>
  <pageSetup horizontalDpi="600" verticalDpi="600" orientation="landscape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31">
      <selection activeCell="L50" sqref="L50"/>
    </sheetView>
  </sheetViews>
  <sheetFormatPr defaultColWidth="9.140625" defaultRowHeight="12.75"/>
  <cols>
    <col min="1" max="1" width="3.7109375" style="0" customWidth="1"/>
    <col min="2" max="2" width="5.7109375" style="0" customWidth="1"/>
    <col min="4" max="4" width="20.8515625" style="0" customWidth="1"/>
    <col min="5" max="5" width="10.7109375" style="0" customWidth="1"/>
    <col min="6" max="6" width="1.7109375" style="0" customWidth="1"/>
    <col min="7" max="7" width="10.421875" style="0" customWidth="1"/>
    <col min="8" max="8" width="1.7109375" style="0" customWidth="1"/>
    <col min="9" max="9" width="12.7109375" style="15" customWidth="1"/>
    <col min="10" max="10" width="1.7109375" style="0" customWidth="1"/>
    <col min="11" max="11" width="13.421875" style="0" bestFit="1" customWidth="1"/>
    <col min="12" max="12" width="1.7109375" style="0" customWidth="1"/>
    <col min="13" max="13" width="10.8515625" style="0" customWidth="1"/>
    <col min="14" max="14" width="1.7109375" style="0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5" spans="7:11" ht="12.75">
      <c r="G5" s="19"/>
      <c r="H5" s="19"/>
      <c r="I5" s="29" t="s">
        <v>189</v>
      </c>
      <c r="J5" s="19"/>
      <c r="K5" s="19"/>
    </row>
    <row r="7" ht="12.75">
      <c r="E7" s="14" t="s">
        <v>43</v>
      </c>
    </row>
    <row r="10" spans="2:9" ht="12.75">
      <c r="B10" s="20" t="s">
        <v>45</v>
      </c>
      <c r="E10" s="48">
        <v>6033</v>
      </c>
      <c r="I10" s="15">
        <v>1824047.54</v>
      </c>
    </row>
    <row r="12" ht="12.75">
      <c r="B12" t="s">
        <v>195</v>
      </c>
    </row>
    <row r="14" spans="3:7" ht="12.75">
      <c r="C14" t="s">
        <v>46</v>
      </c>
      <c r="G14" s="15">
        <v>61</v>
      </c>
    </row>
    <row r="16" spans="3:7" ht="12.75">
      <c r="C16" t="s">
        <v>47</v>
      </c>
      <c r="G16" s="19">
        <v>54.25</v>
      </c>
    </row>
    <row r="18" spans="3:7" ht="12.75">
      <c r="C18" t="s">
        <v>48</v>
      </c>
      <c r="G18" s="19">
        <f>G14-G16</f>
        <v>6.75</v>
      </c>
    </row>
    <row r="20" spans="3:7" ht="12.75">
      <c r="C20" t="s">
        <v>49</v>
      </c>
      <c r="G20" s="21">
        <f>G18/G16</f>
        <v>0.12442396313364056</v>
      </c>
    </row>
    <row r="22" spans="3:7" ht="12.75">
      <c r="C22" s="91" t="s">
        <v>296</v>
      </c>
      <c r="D22" s="91"/>
      <c r="E22" s="87" t="s">
        <v>213</v>
      </c>
      <c r="G22" s="94">
        <f>6/12</f>
        <v>0.5</v>
      </c>
    </row>
    <row r="23" ht="12.75">
      <c r="I23"/>
    </row>
    <row r="24" ht="12.75">
      <c r="G24" s="22">
        <f>G20*G22</f>
        <v>0.06221198156682028</v>
      </c>
    </row>
    <row r="25" ht="12.75">
      <c r="I25"/>
    </row>
    <row r="26" spans="3:9" ht="12.75">
      <c r="C26" t="s">
        <v>50</v>
      </c>
      <c r="I26" s="16">
        <f>I10*G24</f>
        <v>113477.61193548387</v>
      </c>
    </row>
    <row r="28" spans="2:11" ht="12.75">
      <c r="B28" s="20" t="s">
        <v>73</v>
      </c>
      <c r="K28" s="15">
        <f>I10+I26</f>
        <v>1937525.1519354838</v>
      </c>
    </row>
    <row r="30" spans="2:13" ht="12.75">
      <c r="B30" t="s">
        <v>74</v>
      </c>
      <c r="K30" s="23">
        <f>M47*-1</f>
        <v>-1203928.3909780807</v>
      </c>
      <c r="M30" s="87" t="s">
        <v>286</v>
      </c>
    </row>
    <row r="31" ht="12.75"/>
    <row r="33" spans="2:13" ht="13.5" thickBot="1">
      <c r="B33" s="1" t="s">
        <v>183</v>
      </c>
      <c r="K33" s="150">
        <f>K28+K30</f>
        <v>733596.7609574031</v>
      </c>
      <c r="M33" s="87" t="s">
        <v>286</v>
      </c>
    </row>
    <row r="34" ht="13.5" thickTop="1"/>
    <row r="37" ht="12.75">
      <c r="B37" s="13" t="s">
        <v>185</v>
      </c>
    </row>
    <row r="38" spans="5:9" ht="12.75">
      <c r="E38" s="26" t="s">
        <v>56</v>
      </c>
      <c r="I38"/>
    </row>
    <row r="39" spans="5:13" ht="12.75">
      <c r="E39" s="5" t="s">
        <v>57</v>
      </c>
      <c r="G39" s="3" t="s">
        <v>51</v>
      </c>
      <c r="I39" s="3" t="s">
        <v>51</v>
      </c>
      <c r="K39" s="3" t="s">
        <v>51</v>
      </c>
      <c r="M39" s="3" t="s">
        <v>51</v>
      </c>
    </row>
    <row r="40" spans="5:13" ht="12.75">
      <c r="E40" s="7" t="s">
        <v>58</v>
      </c>
      <c r="G40" s="24" t="s">
        <v>52</v>
      </c>
      <c r="I40" s="24" t="s">
        <v>53</v>
      </c>
      <c r="K40" s="24" t="s">
        <v>54</v>
      </c>
      <c r="M40" s="24" t="s">
        <v>55</v>
      </c>
    </row>
    <row r="43" spans="5:13" ht="12.75">
      <c r="E43" s="4">
        <v>1120000</v>
      </c>
      <c r="G43" s="4">
        <v>1120000</v>
      </c>
      <c r="H43" s="4"/>
      <c r="I43" s="4">
        <f>G47</f>
        <v>1122083.2</v>
      </c>
      <c r="J43" s="4"/>
      <c r="K43" s="4">
        <f>I47</f>
        <v>1138353.4064</v>
      </c>
      <c r="L43" s="4"/>
      <c r="M43" s="4">
        <f>K47</f>
        <v>1169316.6190540798</v>
      </c>
    </row>
    <row r="45" spans="7:13" ht="12.75">
      <c r="G45" s="19">
        <v>1.00186</v>
      </c>
      <c r="I45" s="19">
        <v>1.0145</v>
      </c>
      <c r="K45" s="19">
        <v>1.0272</v>
      </c>
      <c r="M45" s="19">
        <v>1.0296</v>
      </c>
    </row>
    <row r="47" spans="2:13" ht="13.5" thickBot="1">
      <c r="B47" s="1" t="s">
        <v>184</v>
      </c>
      <c r="G47" s="31">
        <f>G43*G45</f>
        <v>1122083.2</v>
      </c>
      <c r="I47" s="31">
        <f>I43*I45</f>
        <v>1138353.4064</v>
      </c>
      <c r="K47" s="31">
        <f>K43*K45</f>
        <v>1169316.6190540798</v>
      </c>
      <c r="M47" s="31">
        <f>M43*M45</f>
        <v>1203928.3909780807</v>
      </c>
    </row>
    <row r="48" ht="13.5" thickTop="1"/>
    <row r="49" spans="2:3" ht="12.75">
      <c r="B49" s="91"/>
      <c r="C49" t="s">
        <v>297</v>
      </c>
    </row>
    <row r="50" spans="2:3" ht="12.75">
      <c r="B50" s="89" t="s">
        <v>213</v>
      </c>
      <c r="C50" t="s">
        <v>215</v>
      </c>
    </row>
  </sheetData>
  <printOptions/>
  <pageMargins left="0.25" right="0.25" top="0.5" bottom="0.75" header="0.5" footer="0.5"/>
  <pageSetup horizontalDpi="600" verticalDpi="600" orientation="portrait" scale="9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3">
      <selection activeCell="I37" sqref="I37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10.421875" style="0" bestFit="1" customWidth="1"/>
    <col min="4" max="4" width="1.7109375" style="0" customWidth="1"/>
    <col min="5" max="5" width="12.7109375" style="0" customWidth="1"/>
    <col min="6" max="6" width="1.7109375" style="0" customWidth="1"/>
    <col min="7" max="7" width="10.57421875" style="0" bestFit="1" customWidth="1"/>
    <col min="8" max="8" width="1.7109375" style="0" customWidth="1"/>
    <col min="9" max="9" width="10.57421875" style="0" bestFit="1" customWidth="1"/>
    <col min="10" max="10" width="1.7109375" style="0" customWidth="1"/>
    <col min="11" max="11" width="10.421875" style="0" bestFit="1" customWidth="1"/>
    <col min="12" max="12" width="1.7109375" style="0" customWidth="1"/>
    <col min="13" max="13" width="10.140625" style="0" bestFit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9" spans="5:13" ht="12.75">
      <c r="E9" s="19"/>
      <c r="F9" s="19"/>
      <c r="G9" s="19"/>
      <c r="H9" s="19"/>
      <c r="I9" s="56" t="s">
        <v>21</v>
      </c>
      <c r="J9" s="19"/>
      <c r="K9" s="19"/>
      <c r="L9" s="19"/>
      <c r="M9" s="19"/>
    </row>
    <row r="10" spans="5:13" ht="12.75">
      <c r="E10" s="27" t="s">
        <v>56</v>
      </c>
      <c r="F10" s="15"/>
      <c r="G10" s="15"/>
      <c r="H10" s="15"/>
      <c r="I10" s="15"/>
      <c r="J10" s="15"/>
      <c r="K10" s="15"/>
      <c r="L10" s="15"/>
      <c r="M10" s="15"/>
    </row>
    <row r="11" spans="5:13" ht="12.75">
      <c r="E11" s="28" t="s">
        <v>57</v>
      </c>
      <c r="F11" s="15"/>
      <c r="G11" s="28" t="s">
        <v>51</v>
      </c>
      <c r="H11" s="15"/>
      <c r="I11" s="28" t="s">
        <v>51</v>
      </c>
      <c r="J11" s="15"/>
      <c r="K11" s="28" t="s">
        <v>51</v>
      </c>
      <c r="L11" s="15"/>
      <c r="M11" s="28" t="s">
        <v>51</v>
      </c>
    </row>
    <row r="12" spans="3:13" ht="12.75">
      <c r="C12" s="14" t="s">
        <v>43</v>
      </c>
      <c r="D12" s="25"/>
      <c r="E12" s="29" t="s">
        <v>58</v>
      </c>
      <c r="F12" s="15"/>
      <c r="G12" s="30" t="s">
        <v>52</v>
      </c>
      <c r="H12" s="15"/>
      <c r="I12" s="30" t="s">
        <v>53</v>
      </c>
      <c r="J12" s="15"/>
      <c r="K12" s="30" t="s">
        <v>54</v>
      </c>
      <c r="L12" s="15"/>
      <c r="M12" s="30" t="s">
        <v>55</v>
      </c>
    </row>
    <row r="15" spans="1:5" ht="12.75">
      <c r="A15" s="13" t="s">
        <v>59</v>
      </c>
      <c r="E15" s="15"/>
    </row>
    <row r="16" ht="12.75">
      <c r="E16" s="15"/>
    </row>
    <row r="17" spans="2:5" ht="12.75">
      <c r="B17" t="s">
        <v>60</v>
      </c>
      <c r="C17" s="48">
        <v>6125</v>
      </c>
      <c r="E17" s="15">
        <v>909.6</v>
      </c>
    </row>
    <row r="18" spans="3:5" ht="12.75">
      <c r="C18" s="48"/>
      <c r="E18" s="15"/>
    </row>
    <row r="19" spans="1:5" ht="12.75">
      <c r="A19" s="13" t="s">
        <v>61</v>
      </c>
      <c r="C19" s="48"/>
      <c r="E19" s="15"/>
    </row>
    <row r="20" spans="3:5" ht="12.75">
      <c r="C20" s="48"/>
      <c r="E20" s="15"/>
    </row>
    <row r="21" spans="2:5" ht="12.75">
      <c r="B21" t="s">
        <v>60</v>
      </c>
      <c r="C21" s="48">
        <v>6225</v>
      </c>
      <c r="E21" s="15">
        <v>208729.11</v>
      </c>
    </row>
    <row r="22" spans="2:5" ht="12.75">
      <c r="B22" t="s">
        <v>62</v>
      </c>
      <c r="C22" s="48">
        <v>6226</v>
      </c>
      <c r="E22" s="15">
        <v>17105.59</v>
      </c>
    </row>
    <row r="23" spans="3:5" ht="12.75">
      <c r="C23" s="48"/>
      <c r="E23" s="16"/>
    </row>
    <row r="24" ht="12.75">
      <c r="E24" s="15"/>
    </row>
    <row r="25" spans="2:13" ht="12.75">
      <c r="B25" t="s">
        <v>66</v>
      </c>
      <c r="E25" s="15">
        <f>SUM(E17:E23)</f>
        <v>226744.3</v>
      </c>
      <c r="G25" s="4">
        <f>E25</f>
        <v>226744.3</v>
      </c>
      <c r="I25" s="4">
        <f>G29</f>
        <v>249429.36030004686</v>
      </c>
      <c r="K25" s="4">
        <f>I29</f>
        <v>329071.56825128925</v>
      </c>
      <c r="M25" s="4">
        <f>K29</f>
        <v>443134.6877543366</v>
      </c>
    </row>
    <row r="27" spans="2:13" ht="12.75">
      <c r="B27" t="s">
        <v>153</v>
      </c>
      <c r="G27" s="19">
        <f>G39</f>
        <v>1.1000468823253633</v>
      </c>
      <c r="I27" s="19">
        <f>I39</f>
        <v>1.3192976474599387</v>
      </c>
      <c r="K27" s="19">
        <f>K39</f>
        <v>1.3466210104664686</v>
      </c>
      <c r="M27" s="19">
        <f>M39</f>
        <v>1.034783860288826</v>
      </c>
    </row>
    <row r="29" spans="2:13" ht="13.5" thickBot="1">
      <c r="B29" t="s">
        <v>67</v>
      </c>
      <c r="G29" s="31">
        <f>G25*G27</f>
        <v>249429.36030004686</v>
      </c>
      <c r="I29" s="31">
        <f>I25*I27</f>
        <v>329071.56825128925</v>
      </c>
      <c r="J29" s="4"/>
      <c r="K29" s="31">
        <f>K25*K27</f>
        <v>443134.6877543366</v>
      </c>
      <c r="L29" s="4"/>
      <c r="M29" s="31">
        <f>M25*M27</f>
        <v>458548.622822316</v>
      </c>
    </row>
    <row r="30" ht="13.5" thickTop="1">
      <c r="M30" s="89" t="s">
        <v>286</v>
      </c>
    </row>
    <row r="35" ht="12.75">
      <c r="A35" s="13" t="s">
        <v>154</v>
      </c>
    </row>
    <row r="37" spans="2:13" ht="12.75">
      <c r="B37" t="s">
        <v>210</v>
      </c>
      <c r="E37" s="15">
        <v>106.65</v>
      </c>
      <c r="F37" s="15"/>
      <c r="G37" s="15">
        <v>117.32</v>
      </c>
      <c r="H37" s="15"/>
      <c r="I37" s="15">
        <v>154.78</v>
      </c>
      <c r="J37" s="15"/>
      <c r="K37" s="15">
        <v>208.43</v>
      </c>
      <c r="L37" s="15"/>
      <c r="M37" s="15">
        <v>215.68</v>
      </c>
    </row>
    <row r="39" spans="2:13" ht="12.75">
      <c r="B39" t="s">
        <v>155</v>
      </c>
      <c r="G39">
        <f>G37/E37</f>
        <v>1.1000468823253633</v>
      </c>
      <c r="I39">
        <f>I37/G37</f>
        <v>1.3192976474599387</v>
      </c>
      <c r="K39">
        <f>K37/I37</f>
        <v>1.3466210104664686</v>
      </c>
      <c r="M39">
        <f>M37/K37</f>
        <v>1.034783860288826</v>
      </c>
    </row>
  </sheetData>
  <printOptions/>
  <pageMargins left="0.25" right="0.25" top="1" bottom="1" header="0.5" footer="0.5"/>
  <pageSetup horizontalDpi="600" verticalDpi="600" orientation="portrait" scale="9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SheetLayoutView="100" workbookViewId="0" topLeftCell="K4">
      <selection activeCell="O31" sqref="O31"/>
    </sheetView>
  </sheetViews>
  <sheetFormatPr defaultColWidth="9.140625" defaultRowHeight="12.75"/>
  <cols>
    <col min="1" max="1" width="20.7109375" style="0" customWidth="1"/>
    <col min="2" max="2" width="18.28125" style="0" customWidth="1"/>
    <col min="3" max="3" width="18.140625" style="0" customWidth="1"/>
    <col min="4" max="4" width="11.8515625" style="4" bestFit="1" customWidth="1"/>
    <col min="5" max="5" width="1.7109375" style="4" customWidth="1"/>
    <col min="6" max="6" width="10.421875" style="4" customWidth="1"/>
    <col min="7" max="7" width="1.7109375" style="0" customWidth="1"/>
    <col min="8" max="8" width="10.00390625" style="0" customWidth="1"/>
    <col min="9" max="9" width="1.7109375" style="0" customWidth="1"/>
    <col min="10" max="10" width="11.8515625" style="4" bestFit="1" customWidth="1"/>
    <col min="11" max="11" width="4.421875" style="0" customWidth="1"/>
    <col min="12" max="12" width="10.57421875" style="4" bestFit="1" customWidth="1"/>
    <col min="13" max="13" width="10.00390625" style="0" customWidth="1"/>
    <col min="15" max="15" width="29.8515625" style="0" customWidth="1"/>
    <col min="16" max="16" width="18.140625" style="0" customWidth="1"/>
    <col min="17" max="17" width="10.28125" style="4" bestFit="1" customWidth="1"/>
    <col min="18" max="18" width="5.7109375" style="4" customWidth="1"/>
    <col min="19" max="19" width="10.00390625" style="4" customWidth="1"/>
    <col min="20" max="20" width="5.7109375" style="0" customWidth="1"/>
    <col min="21" max="21" width="10.28125" style="0" bestFit="1" customWidth="1"/>
    <col min="22" max="22" width="5.7109375" style="0" customWidth="1"/>
    <col min="23" max="23" width="12.8515625" style="0" bestFit="1" customWidth="1"/>
  </cols>
  <sheetData>
    <row r="1" spans="1:16" ht="15">
      <c r="A1" s="2" t="s">
        <v>0</v>
      </c>
      <c r="O1" s="2" t="s">
        <v>0</v>
      </c>
      <c r="P1" s="2"/>
    </row>
    <row r="2" spans="1:16" ht="15">
      <c r="A2" s="2" t="s">
        <v>1</v>
      </c>
      <c r="O2" s="2" t="s">
        <v>1</v>
      </c>
      <c r="P2" s="2"/>
    </row>
    <row r="3" spans="1:16" ht="15">
      <c r="A3" s="2" t="s">
        <v>2</v>
      </c>
      <c r="O3" s="2" t="s">
        <v>2</v>
      </c>
      <c r="P3" s="2"/>
    </row>
    <row r="4" spans="4:10" ht="12.75">
      <c r="D4"/>
      <c r="E4"/>
      <c r="F4"/>
      <c r="J4"/>
    </row>
    <row r="6" spans="17:21" ht="12.75">
      <c r="Q6" s="23"/>
      <c r="R6" s="23"/>
      <c r="S6" s="36" t="s">
        <v>143</v>
      </c>
      <c r="T6" s="19"/>
      <c r="U6" s="19"/>
    </row>
    <row r="7" spans="4:21" ht="12.75">
      <c r="D7" s="5" t="s">
        <v>84</v>
      </c>
      <c r="E7" s="5"/>
      <c r="H7" s="160" t="s">
        <v>214</v>
      </c>
      <c r="J7" s="5" t="s">
        <v>84</v>
      </c>
      <c r="Q7" s="160" t="s">
        <v>214</v>
      </c>
      <c r="U7" s="3" t="s">
        <v>122</v>
      </c>
    </row>
    <row r="8" spans="4:21" ht="12.75">
      <c r="D8" s="5" t="s">
        <v>85</v>
      </c>
      <c r="E8" s="5"/>
      <c r="F8" s="5" t="s">
        <v>87</v>
      </c>
      <c r="H8" s="161" t="s">
        <v>95</v>
      </c>
      <c r="J8" s="5" t="s">
        <v>85</v>
      </c>
      <c r="L8" s="5" t="s">
        <v>93</v>
      </c>
      <c r="Q8" s="72" t="s">
        <v>95</v>
      </c>
      <c r="S8" s="5" t="s">
        <v>93</v>
      </c>
      <c r="U8" s="3" t="s">
        <v>95</v>
      </c>
    </row>
    <row r="9" spans="3:21" ht="12.75">
      <c r="C9" s="14" t="s">
        <v>43</v>
      </c>
      <c r="D9" s="36" t="s">
        <v>86</v>
      </c>
      <c r="E9" s="37"/>
      <c r="F9" s="7" t="s">
        <v>88</v>
      </c>
      <c r="H9" s="162" t="s">
        <v>90</v>
      </c>
      <c r="J9" s="36" t="s">
        <v>89</v>
      </c>
      <c r="L9" s="7" t="s">
        <v>94</v>
      </c>
      <c r="P9" s="14" t="s">
        <v>43</v>
      </c>
      <c r="Q9" s="166" t="s">
        <v>90</v>
      </c>
      <c r="S9" s="7" t="s">
        <v>94</v>
      </c>
      <c r="U9" s="14" t="s">
        <v>144</v>
      </c>
    </row>
    <row r="10" spans="4:17" ht="12.75">
      <c r="D10" s="37"/>
      <c r="E10" s="37"/>
      <c r="H10" s="65"/>
      <c r="Q10" s="67"/>
    </row>
    <row r="11" spans="8:17" ht="12.75">
      <c r="H11" s="65"/>
      <c r="Q11" s="67"/>
    </row>
    <row r="12" spans="1:22" ht="12.75">
      <c r="A12" s="65" t="s">
        <v>80</v>
      </c>
      <c r="B12" s="65"/>
      <c r="C12" s="66">
        <v>2260</v>
      </c>
      <c r="D12" s="67">
        <f>133752*0.395</f>
        <v>52832.04</v>
      </c>
      <c r="E12" s="67"/>
      <c r="F12" s="67">
        <f>277535*0.305</f>
        <v>84648.175</v>
      </c>
      <c r="G12" s="65"/>
      <c r="H12" s="67">
        <f>J12-(D12+F12)</f>
        <v>-90438.845</v>
      </c>
      <c r="I12" s="65"/>
      <c r="J12" s="67">
        <f>154234*0.305</f>
        <v>47041.369999999995</v>
      </c>
      <c r="K12" s="65"/>
      <c r="L12" s="67">
        <v>2786</v>
      </c>
      <c r="M12" s="87" t="s">
        <v>213</v>
      </c>
      <c r="O12" s="65" t="s">
        <v>80</v>
      </c>
      <c r="P12" s="66">
        <v>2260</v>
      </c>
      <c r="Q12" s="67">
        <v>90000</v>
      </c>
      <c r="R12" s="67"/>
      <c r="S12" s="67">
        <v>3000</v>
      </c>
      <c r="T12" s="65"/>
      <c r="U12" s="67">
        <f>Q12+S12</f>
        <v>93000</v>
      </c>
      <c r="V12" s="87" t="s">
        <v>213</v>
      </c>
    </row>
    <row r="13" spans="3:17" ht="12.75">
      <c r="C13" s="57"/>
      <c r="H13" s="65"/>
      <c r="P13" s="57"/>
      <c r="Q13" s="67"/>
    </row>
    <row r="14" spans="1:22" ht="12.75">
      <c r="A14" t="s">
        <v>81</v>
      </c>
      <c r="C14" s="57">
        <v>2230</v>
      </c>
      <c r="D14" s="4">
        <v>1152139</v>
      </c>
      <c r="H14" s="67">
        <f>J14-D14</f>
        <v>-104740</v>
      </c>
      <c r="J14" s="4">
        <v>1047399</v>
      </c>
      <c r="L14" s="4">
        <v>98879</v>
      </c>
      <c r="O14" t="s">
        <v>81</v>
      </c>
      <c r="P14" s="57">
        <v>2230</v>
      </c>
      <c r="Q14" s="67">
        <f>8056.91*12</f>
        <v>96682.92</v>
      </c>
      <c r="S14" s="4">
        <v>100000</v>
      </c>
      <c r="U14" s="4">
        <f>Q14+S14</f>
        <v>196682.91999999998</v>
      </c>
      <c r="V14" s="79"/>
    </row>
    <row r="15" spans="3:17" ht="12.75">
      <c r="C15" s="57"/>
      <c r="H15" s="163" t="s">
        <v>284</v>
      </c>
      <c r="P15" s="57"/>
      <c r="Q15" s="67"/>
    </row>
    <row r="16" spans="1:22" ht="12.75">
      <c r="A16" t="s">
        <v>82</v>
      </c>
      <c r="C16" s="57">
        <v>2335</v>
      </c>
      <c r="D16" s="4">
        <v>1844370</v>
      </c>
      <c r="H16" s="67">
        <f>J16-D16</f>
        <v>-222320</v>
      </c>
      <c r="J16" s="4">
        <v>1622050</v>
      </c>
      <c r="L16" s="4">
        <v>93253</v>
      </c>
      <c r="O16" t="s">
        <v>82</v>
      </c>
      <c r="P16" s="57">
        <v>2335</v>
      </c>
      <c r="Q16" s="67">
        <v>236925</v>
      </c>
      <c r="S16" s="4">
        <v>100000</v>
      </c>
      <c r="U16" s="4">
        <f>Q16+S16</f>
        <v>336925</v>
      </c>
      <c r="V16" s="79"/>
    </row>
    <row r="17" spans="3:17" ht="12.75">
      <c r="C17" s="57"/>
      <c r="H17" s="65"/>
      <c r="P17" s="57"/>
      <c r="Q17" s="67"/>
    </row>
    <row r="18" spans="1:22" ht="12.75">
      <c r="A18" t="s">
        <v>83</v>
      </c>
      <c r="B18" t="s">
        <v>91</v>
      </c>
      <c r="C18" s="57">
        <v>2336</v>
      </c>
      <c r="F18" s="4">
        <v>767377</v>
      </c>
      <c r="H18" s="67">
        <f>J18-(D18+F18)</f>
        <v>-24094</v>
      </c>
      <c r="J18" s="4">
        <v>743283</v>
      </c>
      <c r="L18" s="4">
        <v>12160</v>
      </c>
      <c r="O18" t="s">
        <v>83</v>
      </c>
      <c r="P18" s="57">
        <v>2336</v>
      </c>
      <c r="Q18" s="67">
        <v>87661.11659354935</v>
      </c>
      <c r="S18" s="4">
        <v>57351.08340645067</v>
      </c>
      <c r="U18" s="4">
        <f>Q18+S18</f>
        <v>145012.2</v>
      </c>
      <c r="V18" s="79"/>
    </row>
    <row r="19" spans="3:22" ht="12.75">
      <c r="C19" s="57"/>
      <c r="H19" s="163" t="s">
        <v>284</v>
      </c>
      <c r="P19" s="73">
        <v>144795</v>
      </c>
      <c r="Q19" s="67"/>
      <c r="V19" s="79"/>
    </row>
    <row r="20" spans="1:22" ht="12.75">
      <c r="A20" t="s">
        <v>83</v>
      </c>
      <c r="B20" t="s">
        <v>92</v>
      </c>
      <c r="C20" s="57">
        <v>2336</v>
      </c>
      <c r="F20" s="4">
        <v>510758</v>
      </c>
      <c r="H20" s="67">
        <f>J20-(D20+F20)</f>
        <v>-5009</v>
      </c>
      <c r="J20" s="4">
        <v>505749</v>
      </c>
      <c r="L20" s="4">
        <v>2951</v>
      </c>
      <c r="O20" t="s">
        <v>83</v>
      </c>
      <c r="P20" s="57">
        <v>2336</v>
      </c>
      <c r="Q20" s="71">
        <v>57134.37382106644</v>
      </c>
      <c r="S20" s="4">
        <v>38395.10617893356</v>
      </c>
      <c r="U20" s="4">
        <f>Q20+S20</f>
        <v>95529.48</v>
      </c>
      <c r="V20" s="79"/>
    </row>
    <row r="21" spans="4:22" ht="12.75">
      <c r="D21" s="23"/>
      <c r="F21" s="23"/>
      <c r="H21" s="164" t="s">
        <v>284</v>
      </c>
      <c r="J21" s="23"/>
      <c r="L21" s="23"/>
      <c r="Q21" s="158"/>
      <c r="S21" s="23"/>
      <c r="U21" s="19"/>
      <c r="V21" s="79"/>
    </row>
    <row r="22" spans="8:17" ht="12.75">
      <c r="H22" s="65"/>
      <c r="Q22" s="67"/>
    </row>
    <row r="23" spans="4:21" ht="13.5" thickBot="1">
      <c r="D23" s="31">
        <f>SUM(D14:D20)</f>
        <v>2996509</v>
      </c>
      <c r="F23" s="31">
        <f>SUM(F14:F20)</f>
        <v>1278135</v>
      </c>
      <c r="H23" s="165">
        <f>SUM(H14:H20)</f>
        <v>-356163</v>
      </c>
      <c r="J23" s="31">
        <f>SUM(J14:J20)</f>
        <v>3918481</v>
      </c>
      <c r="L23" s="151">
        <f>SUM(L14:L20)</f>
        <v>207243</v>
      </c>
      <c r="Q23" s="67">
        <f>SUM(Q14:Q20)</f>
        <v>478403.41041461576</v>
      </c>
      <c r="S23" s="84">
        <f>SUM(S14:S20)</f>
        <v>295746.1895853842</v>
      </c>
      <c r="U23" s="84">
        <f>SUM(U14:U20)</f>
        <v>774149.5999999999</v>
      </c>
    </row>
    <row r="24" ht="13.5" thickTop="1">
      <c r="H24" s="163" t="s">
        <v>285</v>
      </c>
    </row>
    <row r="25" spans="1:22" ht="13.5" thickBot="1">
      <c r="A25" t="s">
        <v>112</v>
      </c>
      <c r="C25" s="58">
        <v>9071</v>
      </c>
      <c r="F25" s="69" t="s">
        <v>284</v>
      </c>
      <c r="H25" s="165">
        <f>+H14+H18+H20</f>
        <v>-133843</v>
      </c>
      <c r="L25" s="23">
        <v>88775</v>
      </c>
      <c r="O25" t="s">
        <v>112</v>
      </c>
      <c r="P25" s="58">
        <v>9071</v>
      </c>
      <c r="S25" s="4">
        <v>90000</v>
      </c>
      <c r="U25" s="4">
        <f>Q25+S25</f>
        <v>90000</v>
      </c>
      <c r="V25" s="79"/>
    </row>
    <row r="26" ht="13.5" thickTop="1"/>
    <row r="27" spans="1:22" ht="12.75">
      <c r="A27" t="s">
        <v>113</v>
      </c>
      <c r="L27" s="23">
        <f>L23+L25</f>
        <v>296018</v>
      </c>
      <c r="O27" t="s">
        <v>489</v>
      </c>
      <c r="S27" s="69" t="s">
        <v>308</v>
      </c>
      <c r="T27" s="89" t="s">
        <v>294</v>
      </c>
      <c r="U27" s="86">
        <f>+'Depr - C '!X30</f>
        <v>82250.23723360253</v>
      </c>
      <c r="V27" s="63"/>
    </row>
    <row r="28" spans="12:22" ht="12.75">
      <c r="L28" s="78" t="s">
        <v>285</v>
      </c>
      <c r="S28" s="85"/>
      <c r="U28" s="88"/>
      <c r="V28" s="63"/>
    </row>
    <row r="29" spans="1:19" ht="13.5" thickBot="1">
      <c r="A29" t="s">
        <v>114</v>
      </c>
      <c r="K29" s="63" t="s">
        <v>285</v>
      </c>
      <c r="L29" s="149">
        <f>+L27</f>
        <v>296018</v>
      </c>
      <c r="Q29"/>
      <c r="R29"/>
      <c r="S29"/>
    </row>
    <row r="30" spans="12:21" ht="14.25" thickBot="1" thickTop="1">
      <c r="L30" s="90"/>
      <c r="O30" s="1" t="s">
        <v>490</v>
      </c>
      <c r="P30" s="1"/>
      <c r="U30" s="149">
        <f>SUM(U23:U27)-Q23</f>
        <v>467996.42681898666</v>
      </c>
    </row>
    <row r="31" spans="15:21" ht="13.5" thickTop="1">
      <c r="O31" s="1"/>
      <c r="P31" s="1"/>
      <c r="U31" s="101" t="s">
        <v>286</v>
      </c>
    </row>
    <row r="33" spans="1:19" ht="12.75">
      <c r="A33" s="89" t="s">
        <v>213</v>
      </c>
      <c r="B33" t="s">
        <v>276</v>
      </c>
      <c r="D33"/>
      <c r="E33"/>
      <c r="F33"/>
      <c r="J33"/>
      <c r="L33"/>
      <c r="N33" s="91"/>
      <c r="O33" t="s">
        <v>283</v>
      </c>
      <c r="Q33"/>
      <c r="R33"/>
      <c r="S33"/>
    </row>
    <row r="34" spans="1:19" ht="12.75">
      <c r="A34" s="89"/>
      <c r="B34" t="s">
        <v>277</v>
      </c>
      <c r="D34"/>
      <c r="E34"/>
      <c r="F34"/>
      <c r="J34"/>
      <c r="L34"/>
      <c r="N34" s="89" t="s">
        <v>213</v>
      </c>
      <c r="O34" t="s">
        <v>276</v>
      </c>
      <c r="Q34"/>
      <c r="R34"/>
      <c r="S34"/>
    </row>
    <row r="35" spans="4:19" ht="12.75">
      <c r="D35"/>
      <c r="E35"/>
      <c r="F35"/>
      <c r="J35"/>
      <c r="L35"/>
      <c r="O35" t="s">
        <v>277</v>
      </c>
      <c r="Q35"/>
      <c r="R35"/>
      <c r="S35"/>
    </row>
    <row r="36" spans="1:19" ht="12.75">
      <c r="A36" s="89" t="s">
        <v>214</v>
      </c>
      <c r="B36" t="s">
        <v>459</v>
      </c>
      <c r="D36"/>
      <c r="E36"/>
      <c r="F36"/>
      <c r="J36"/>
      <c r="L36"/>
      <c r="N36" s="63"/>
      <c r="Q36"/>
      <c r="R36"/>
      <c r="S36"/>
    </row>
    <row r="37" spans="2:19" ht="12.75">
      <c r="B37" t="s">
        <v>460</v>
      </c>
      <c r="D37"/>
      <c r="E37"/>
      <c r="F37"/>
      <c r="J37"/>
      <c r="L37"/>
      <c r="N37" s="63"/>
      <c r="Q37"/>
      <c r="R37"/>
      <c r="S37"/>
    </row>
    <row r="38" spans="4:19" ht="12.75">
      <c r="D38"/>
      <c r="E38"/>
      <c r="F38"/>
      <c r="J38"/>
      <c r="L38"/>
      <c r="N38" s="63"/>
      <c r="Q38"/>
      <c r="R38"/>
      <c r="S38"/>
    </row>
    <row r="39" spans="4:19" ht="12.75">
      <c r="D39"/>
      <c r="E39"/>
      <c r="F39"/>
      <c r="J39"/>
      <c r="L39"/>
      <c r="Q39"/>
      <c r="R39"/>
      <c r="S39"/>
    </row>
    <row r="40" spans="4:19" ht="12.75">
      <c r="D40"/>
      <c r="E40"/>
      <c r="F40"/>
      <c r="J40"/>
      <c r="L40"/>
      <c r="Q40"/>
      <c r="R40"/>
      <c r="S40"/>
    </row>
    <row r="41" spans="4:19" ht="12.75">
      <c r="D41"/>
      <c r="E41"/>
      <c r="F41"/>
      <c r="J41"/>
      <c r="L41"/>
      <c r="Q41"/>
      <c r="R41"/>
      <c r="S41"/>
    </row>
    <row r="42" spans="4:19" ht="12.75">
      <c r="D42"/>
      <c r="E42"/>
      <c r="F42"/>
      <c r="J42"/>
      <c r="L42"/>
      <c r="Q42"/>
      <c r="R42"/>
      <c r="S42"/>
    </row>
    <row r="43" spans="4:19" ht="12.75">
      <c r="D43"/>
      <c r="E43"/>
      <c r="F43"/>
      <c r="J43"/>
      <c r="L43"/>
      <c r="Q43"/>
      <c r="R43"/>
      <c r="S43"/>
    </row>
    <row r="44" spans="4:19" ht="12.75">
      <c r="D44"/>
      <c r="E44"/>
      <c r="F44"/>
      <c r="J44"/>
      <c r="L44"/>
      <c r="Q44"/>
      <c r="R44"/>
      <c r="S44"/>
    </row>
    <row r="45" spans="4:19" ht="12.75">
      <c r="D45"/>
      <c r="E45"/>
      <c r="F45"/>
      <c r="J45"/>
      <c r="L45"/>
      <c r="Q45"/>
      <c r="R45"/>
      <c r="S45"/>
    </row>
    <row r="46" spans="4:19" ht="12.75">
      <c r="D46"/>
      <c r="E46"/>
      <c r="F46"/>
      <c r="J46"/>
      <c r="L46"/>
      <c r="Q46"/>
      <c r="R46"/>
      <c r="S46"/>
    </row>
    <row r="47" spans="4:19" ht="12.75">
      <c r="D47"/>
      <c r="E47"/>
      <c r="F47"/>
      <c r="J47"/>
      <c r="L47"/>
      <c r="Q47"/>
      <c r="R47"/>
      <c r="S47"/>
    </row>
    <row r="48" spans="4:19" ht="12.75">
      <c r="D48"/>
      <c r="E48"/>
      <c r="F48"/>
      <c r="J48"/>
      <c r="L48"/>
      <c r="Q48"/>
      <c r="R48"/>
      <c r="S48"/>
    </row>
    <row r="49" spans="4:19" ht="12.75">
      <c r="D49"/>
      <c r="E49"/>
      <c r="F49"/>
      <c r="J49"/>
      <c r="L49"/>
      <c r="Q49"/>
      <c r="R49"/>
      <c r="S49"/>
    </row>
    <row r="50" spans="4:19" ht="12.75">
      <c r="D50"/>
      <c r="E50"/>
      <c r="F50"/>
      <c r="J50"/>
      <c r="L50"/>
      <c r="Q50"/>
      <c r="R50"/>
      <c r="S50"/>
    </row>
    <row r="51" spans="4:19" ht="12.75">
      <c r="D51"/>
      <c r="E51"/>
      <c r="F51"/>
      <c r="J51"/>
      <c r="L51"/>
      <c r="Q51"/>
      <c r="R51"/>
      <c r="S51"/>
    </row>
  </sheetData>
  <printOptions/>
  <pageMargins left="0.25" right="0.25" top="0.5" bottom="0.5" header="0.5" footer="0.5"/>
  <pageSetup fitToHeight="2" fitToWidth="2" horizontalDpi="300" verticalDpi="300" orientation="landscape" r:id="rId2"/>
  <headerFooter alignWithMargins="0">
    <oddFooter>&amp;C&amp;A</oddFooter>
  </headerFooter>
  <colBreaks count="2" manualBreakCount="2">
    <brk id="13" max="65535" man="1"/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5">
      <selection activeCell="B42" sqref="B42"/>
    </sheetView>
  </sheetViews>
  <sheetFormatPr defaultColWidth="9.140625" defaultRowHeight="12.75"/>
  <cols>
    <col min="1" max="1" width="3.8515625" style="0" customWidth="1"/>
    <col min="2" max="2" width="41.421875" style="0" customWidth="1"/>
    <col min="3" max="3" width="1.7109375" style="0" customWidth="1"/>
    <col min="4" max="4" width="10.140625" style="4" bestFit="1" customWidth="1"/>
    <col min="5" max="5" width="1.7109375" style="4" customWidth="1"/>
    <col min="6" max="6" width="10.140625" style="4" bestFit="1" customWidth="1"/>
    <col min="7" max="7" width="1.7109375" style="4" customWidth="1"/>
    <col min="8" max="8" width="10.140625" style="4" bestFit="1" customWidth="1"/>
    <col min="9" max="9" width="1.7109375" style="4" customWidth="1"/>
    <col min="10" max="10" width="9.8515625" style="4" bestFit="1" customWidth="1"/>
    <col min="11" max="11" width="1.7109375" style="4" customWidth="1"/>
    <col min="12" max="12" width="9.8515625" style="4" bestFit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9" spans="4:12" ht="12.75">
      <c r="D9" s="23"/>
      <c r="E9" s="23"/>
      <c r="F9" s="23"/>
      <c r="G9" s="23"/>
      <c r="H9" s="7" t="s">
        <v>75</v>
      </c>
      <c r="I9" s="23"/>
      <c r="J9" s="23"/>
      <c r="K9" s="23"/>
      <c r="L9" s="23"/>
    </row>
    <row r="11" ht="12.75">
      <c r="D11" s="26" t="s">
        <v>56</v>
      </c>
    </row>
    <row r="12" spans="4:12" ht="12.75">
      <c r="D12" s="5" t="s">
        <v>57</v>
      </c>
      <c r="F12" s="5" t="s">
        <v>51</v>
      </c>
      <c r="H12" s="5" t="s">
        <v>51</v>
      </c>
      <c r="J12" s="5" t="s">
        <v>51</v>
      </c>
      <c r="L12" s="5" t="s">
        <v>51</v>
      </c>
    </row>
    <row r="13" spans="4:12" ht="12.75">
      <c r="D13" s="7" t="s">
        <v>58</v>
      </c>
      <c r="F13" s="36" t="s">
        <v>52</v>
      </c>
      <c r="H13" s="36" t="s">
        <v>53</v>
      </c>
      <c r="J13" s="36" t="s">
        <v>54</v>
      </c>
      <c r="L13" s="36" t="s">
        <v>55</v>
      </c>
    </row>
    <row r="15" ht="12.75">
      <c r="B15" t="s">
        <v>77</v>
      </c>
    </row>
    <row r="16" spans="2:12" ht="12.75">
      <c r="B16" t="s">
        <v>78</v>
      </c>
      <c r="D16" s="4">
        <v>182923</v>
      </c>
      <c r="F16" s="4">
        <f>D16</f>
        <v>182923</v>
      </c>
      <c r="H16" s="4">
        <f>F20</f>
        <v>183263.23678</v>
      </c>
      <c r="J16" s="4">
        <f>H20</f>
        <v>185920.55371331</v>
      </c>
      <c r="L16" s="4">
        <f>J20</f>
        <v>190977.592774312</v>
      </c>
    </row>
    <row r="18" spans="2:12" ht="12.75">
      <c r="B18" t="s">
        <v>193</v>
      </c>
      <c r="F18" s="19">
        <v>1.00186</v>
      </c>
      <c r="G18"/>
      <c r="H18" s="19">
        <v>1.0145</v>
      </c>
      <c r="I18"/>
      <c r="J18" s="19">
        <v>1.0272</v>
      </c>
      <c r="K18"/>
      <c r="L18" s="19">
        <v>1.0296</v>
      </c>
    </row>
    <row r="20" spans="2:12" ht="13.5" thickBot="1">
      <c r="B20" t="s">
        <v>186</v>
      </c>
      <c r="F20" s="31">
        <f>F16*F18</f>
        <v>183263.23678</v>
      </c>
      <c r="H20" s="31">
        <f>H16*H18</f>
        <v>185920.55371331</v>
      </c>
      <c r="J20" s="31">
        <f>J16*J18</f>
        <v>190977.592774312</v>
      </c>
      <c r="L20" s="31">
        <f>L16*L18</f>
        <v>196630.52952043165</v>
      </c>
    </row>
    <row r="21" ht="13.5" thickTop="1">
      <c r="L21" s="90" t="s">
        <v>286</v>
      </c>
    </row>
    <row r="29" spans="2:12" ht="12.75">
      <c r="B29" s="83" t="s">
        <v>280</v>
      </c>
      <c r="D29" s="23"/>
      <c r="E29" s="23"/>
      <c r="F29" s="23"/>
      <c r="G29" s="23"/>
      <c r="H29" s="7" t="s">
        <v>75</v>
      </c>
      <c r="I29" s="23"/>
      <c r="J29" s="23"/>
      <c r="K29" s="23"/>
      <c r="L29" s="23"/>
    </row>
    <row r="31" ht="12.75">
      <c r="D31" s="26" t="s">
        <v>56</v>
      </c>
    </row>
    <row r="32" spans="4:12" ht="12.75">
      <c r="D32" s="5" t="s">
        <v>57</v>
      </c>
      <c r="F32" s="5" t="s">
        <v>51</v>
      </c>
      <c r="H32" s="5" t="s">
        <v>51</v>
      </c>
      <c r="J32" s="5" t="s">
        <v>51</v>
      </c>
      <c r="L32" s="5" t="s">
        <v>51</v>
      </c>
    </row>
    <row r="33" spans="4:12" ht="12.75">
      <c r="D33" s="7" t="s">
        <v>58</v>
      </c>
      <c r="F33" s="36" t="s">
        <v>52</v>
      </c>
      <c r="H33" s="36" t="s">
        <v>53</v>
      </c>
      <c r="J33" s="36" t="s">
        <v>54</v>
      </c>
      <c r="L33" s="36" t="s">
        <v>55</v>
      </c>
    </row>
    <row r="35" ht="12.75">
      <c r="B35" t="s">
        <v>77</v>
      </c>
    </row>
    <row r="36" spans="2:12" ht="12.75">
      <c r="B36" t="s">
        <v>78</v>
      </c>
      <c r="D36" s="4">
        <v>182923</v>
      </c>
      <c r="F36" s="4">
        <f>D36</f>
        <v>182923</v>
      </c>
      <c r="H36" s="4">
        <f>F40</f>
        <v>183263.23678</v>
      </c>
      <c r="J36" s="4">
        <f>H40</f>
        <v>185990.19374328642</v>
      </c>
      <c r="L36" s="4">
        <f>J40</f>
        <v>191006.34926854284</v>
      </c>
    </row>
    <row r="38" spans="2:12" ht="12.75">
      <c r="B38" t="s">
        <v>193</v>
      </c>
      <c r="F38" s="19">
        <v>1.00186</v>
      </c>
      <c r="G38"/>
      <c r="H38" s="19">
        <v>1.01488</v>
      </c>
      <c r="I38"/>
      <c r="J38" s="19">
        <v>1.02697</v>
      </c>
      <c r="K38"/>
      <c r="L38" s="19">
        <v>1.02976</v>
      </c>
    </row>
    <row r="40" spans="2:12" ht="13.5" thickBot="1">
      <c r="B40" t="s">
        <v>186</v>
      </c>
      <c r="F40" s="31">
        <f>F36*F38</f>
        <v>183263.23678</v>
      </c>
      <c r="H40" s="31">
        <f>H36*H38</f>
        <v>185990.19374328642</v>
      </c>
      <c r="J40" s="31">
        <f>J36*J38</f>
        <v>191006.34926854284</v>
      </c>
      <c r="L40" s="31">
        <f>L36*L38</f>
        <v>196690.69822277466</v>
      </c>
    </row>
    <row r="41" ht="13.5" thickTop="1"/>
    <row r="42" spans="2:12" ht="13.5" thickBot="1">
      <c r="B42" t="s">
        <v>282</v>
      </c>
      <c r="J42" s="4" t="s">
        <v>281</v>
      </c>
      <c r="L42" s="31">
        <f>+L20-L40</f>
        <v>-60.16870234301314</v>
      </c>
    </row>
    <row r="43" ht="13.5" thickTop="1"/>
  </sheetData>
  <printOptions/>
  <pageMargins left="0.25" right="0.25" top="0.5" bottom="0.5" header="0.5" footer="0.5"/>
  <pageSetup horizontalDpi="600" verticalDpi="600" orientation="portrait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25">
      <selection activeCell="B49" sqref="B49"/>
    </sheetView>
  </sheetViews>
  <sheetFormatPr defaultColWidth="9.140625" defaultRowHeight="12.75"/>
  <cols>
    <col min="1" max="1" width="3.7109375" style="0" customWidth="1"/>
    <col min="2" max="2" width="18.28125" style="0" customWidth="1"/>
    <col min="4" max="4" width="9.140625" style="48" customWidth="1"/>
    <col min="5" max="5" width="10.57421875" style="58" bestFit="1" customWidth="1"/>
    <col min="6" max="6" width="9.140625" style="48" customWidth="1"/>
    <col min="8" max="8" width="12.00390625" style="4" bestFit="1" customWidth="1"/>
    <col min="9" max="9" width="1.7109375" style="0" customWidth="1"/>
    <col min="10" max="10" width="12.57421875" style="4" bestFit="1" customWidth="1"/>
    <col min="13" max="13" width="10.28125" style="0" bestFit="1" customWidth="1"/>
    <col min="14" max="14" width="10.28125" style="4" bestFit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11" spans="4:14" ht="12.75">
      <c r="D11" s="59"/>
      <c r="E11" s="60" t="s">
        <v>43</v>
      </c>
      <c r="F11" s="59"/>
      <c r="H11" s="14" t="s">
        <v>187</v>
      </c>
      <c r="I11" s="19"/>
      <c r="J11" s="38">
        <v>2006</v>
      </c>
      <c r="N11"/>
    </row>
    <row r="12" ht="12.75">
      <c r="N12"/>
    </row>
    <row r="13" ht="12.75">
      <c r="N13"/>
    </row>
    <row r="14" spans="1:14" ht="12.75">
      <c r="A14" s="13" t="s">
        <v>96</v>
      </c>
      <c r="N14"/>
    </row>
    <row r="15" ht="12.75">
      <c r="N15"/>
    </row>
    <row r="16" spans="2:14" ht="12.75">
      <c r="B16" t="s">
        <v>97</v>
      </c>
      <c r="E16" s="58" t="s">
        <v>196</v>
      </c>
      <c r="G16" s="61"/>
      <c r="H16" s="4">
        <v>1920008</v>
      </c>
      <c r="N16"/>
    </row>
    <row r="17" spans="2:14" ht="12.75">
      <c r="B17" t="s">
        <v>98</v>
      </c>
      <c r="E17" s="58" t="s">
        <v>197</v>
      </c>
      <c r="G17" s="61"/>
      <c r="H17" s="4">
        <v>5941334</v>
      </c>
      <c r="N17"/>
    </row>
    <row r="18" spans="2:14" ht="12.75">
      <c r="B18" t="s">
        <v>99</v>
      </c>
      <c r="E18" s="58" t="s">
        <v>198</v>
      </c>
      <c r="G18" s="61"/>
      <c r="H18" s="23">
        <v>1288691</v>
      </c>
      <c r="N18"/>
    </row>
    <row r="19" spans="10:14" ht="12.75">
      <c r="J19" s="4">
        <f>SUM(H16:H18)</f>
        <v>9150033</v>
      </c>
      <c r="N19"/>
    </row>
    <row r="20" ht="12.75">
      <c r="N20"/>
    </row>
    <row r="21" spans="1:14" ht="12.75">
      <c r="A21" s="1" t="s">
        <v>102</v>
      </c>
      <c r="E21" s="58" t="s">
        <v>199</v>
      </c>
      <c r="J21" s="4">
        <v>846085</v>
      </c>
      <c r="N21"/>
    </row>
    <row r="22" ht="12.75">
      <c r="N22"/>
    </row>
    <row r="23" spans="1:14" ht="12.75">
      <c r="A23" s="70" t="s">
        <v>103</v>
      </c>
      <c r="B23" s="65"/>
      <c r="C23" s="65"/>
      <c r="D23" s="155"/>
      <c r="E23" s="156"/>
      <c r="F23" s="155"/>
      <c r="G23" s="65"/>
      <c r="H23" s="67"/>
      <c r="I23" s="65"/>
      <c r="J23" s="67"/>
      <c r="N23"/>
    </row>
    <row r="24" spans="1:14" ht="12.75">
      <c r="A24" s="65"/>
      <c r="B24" s="65"/>
      <c r="C24" s="65"/>
      <c r="D24" s="155"/>
      <c r="E24" s="156"/>
      <c r="F24" s="155"/>
      <c r="G24" s="65"/>
      <c r="H24" s="67"/>
      <c r="I24" s="65"/>
      <c r="J24" s="67"/>
      <c r="N24"/>
    </row>
    <row r="25" spans="1:14" ht="12.75">
      <c r="A25" s="65"/>
      <c r="B25" s="65" t="s">
        <v>100</v>
      </c>
      <c r="C25" s="65"/>
      <c r="D25" s="155"/>
      <c r="E25" s="156">
        <v>4175</v>
      </c>
      <c r="F25" s="155"/>
      <c r="G25" s="157"/>
      <c r="H25" s="67">
        <v>90690</v>
      </c>
      <c r="I25" s="65"/>
      <c r="J25" s="67"/>
      <c r="N25"/>
    </row>
    <row r="26" spans="1:14" ht="12.75">
      <c r="A26" s="65"/>
      <c r="B26" s="65" t="s">
        <v>101</v>
      </c>
      <c r="C26" s="65"/>
      <c r="D26" s="155"/>
      <c r="E26" s="156">
        <v>4302</v>
      </c>
      <c r="F26" s="155"/>
      <c r="G26" s="157"/>
      <c r="H26" s="67">
        <v>79607</v>
      </c>
      <c r="I26" s="65"/>
      <c r="J26" s="67"/>
      <c r="N26"/>
    </row>
    <row r="27" spans="1:14" ht="12.75">
      <c r="A27" s="65"/>
      <c r="B27" s="65" t="s">
        <v>104</v>
      </c>
      <c r="C27" s="65"/>
      <c r="D27" s="155"/>
      <c r="E27" s="156">
        <v>6287</v>
      </c>
      <c r="F27" s="155"/>
      <c r="G27" s="157"/>
      <c r="H27" s="67">
        <v>373820</v>
      </c>
      <c r="I27" s="65"/>
      <c r="J27" s="67"/>
      <c r="N27"/>
    </row>
    <row r="28" spans="1:14" ht="12.75">
      <c r="A28" s="65"/>
      <c r="B28" s="65" t="s">
        <v>105</v>
      </c>
      <c r="C28" s="65"/>
      <c r="D28" s="155"/>
      <c r="E28" s="156">
        <v>8096</v>
      </c>
      <c r="F28" s="155"/>
      <c r="G28" s="157"/>
      <c r="H28" s="158">
        <v>828923</v>
      </c>
      <c r="I28" s="65"/>
      <c r="J28" s="67"/>
      <c r="N28"/>
    </row>
    <row r="29" spans="1:14" ht="12.75">
      <c r="A29" s="65"/>
      <c r="B29" s="65"/>
      <c r="C29" s="65"/>
      <c r="D29" s="155"/>
      <c r="E29" s="156"/>
      <c r="F29" s="155"/>
      <c r="G29" s="65"/>
      <c r="H29" s="159" t="s">
        <v>213</v>
      </c>
      <c r="I29" s="65"/>
      <c r="J29" s="67">
        <f>SUM(H25:H28)</f>
        <v>1373040</v>
      </c>
      <c r="N29"/>
    </row>
    <row r="30" ht="12.75">
      <c r="N30"/>
    </row>
    <row r="31" spans="1:14" ht="12.75">
      <c r="A31" s="13" t="s">
        <v>106</v>
      </c>
      <c r="N31"/>
    </row>
    <row r="32" ht="12.75">
      <c r="N32"/>
    </row>
    <row r="33" spans="2:14" ht="12.75">
      <c r="B33" t="s">
        <v>107</v>
      </c>
      <c r="E33" s="58">
        <v>4550</v>
      </c>
      <c r="G33" s="61"/>
      <c r="H33" s="4">
        <v>17855</v>
      </c>
      <c r="N33"/>
    </row>
    <row r="34" spans="2:14" ht="12.75">
      <c r="B34" t="s">
        <v>108</v>
      </c>
      <c r="E34" s="58">
        <v>9001</v>
      </c>
      <c r="G34" s="61"/>
      <c r="H34" s="4">
        <v>2323</v>
      </c>
      <c r="N34"/>
    </row>
    <row r="35" spans="2:14" ht="12.75">
      <c r="B35" t="s">
        <v>279</v>
      </c>
      <c r="E35" s="58">
        <v>9005</v>
      </c>
      <c r="G35" s="61"/>
      <c r="H35" s="84">
        <v>204</v>
      </c>
      <c r="N35"/>
    </row>
    <row r="36" spans="2:14" ht="12.75">
      <c r="B36" t="s">
        <v>109</v>
      </c>
      <c r="E36" s="58">
        <v>9071</v>
      </c>
      <c r="G36" s="61"/>
      <c r="H36" s="23">
        <v>303824</v>
      </c>
      <c r="N36"/>
    </row>
    <row r="37" spans="10:14" ht="12.75">
      <c r="J37" s="23">
        <f>SUM(H33:H36)</f>
        <v>324206</v>
      </c>
      <c r="N37"/>
    </row>
    <row r="38" ht="12.75">
      <c r="N38"/>
    </row>
    <row r="39" spans="2:14" ht="13.5" thickBot="1">
      <c r="B39" t="s">
        <v>110</v>
      </c>
      <c r="J39" s="149">
        <f>SUM(J19:J26)+J37</f>
        <v>10320324</v>
      </c>
      <c r="N39"/>
    </row>
    <row r="40" ht="13.5" thickTop="1">
      <c r="J40" s="90" t="s">
        <v>286</v>
      </c>
    </row>
    <row r="41" ht="12.75">
      <c r="B41" s="1" t="s">
        <v>275</v>
      </c>
    </row>
    <row r="42" spans="1:2" ht="12.75">
      <c r="A42" s="91"/>
      <c r="B42" t="s">
        <v>450</v>
      </c>
    </row>
    <row r="43" spans="1:2" ht="12.75">
      <c r="A43" s="87" t="s">
        <v>213</v>
      </c>
      <c r="B43" t="s">
        <v>457</v>
      </c>
    </row>
    <row r="44" ht="12.75">
      <c r="B44" t="s">
        <v>458</v>
      </c>
    </row>
  </sheetData>
  <printOptions/>
  <pageMargins left="0.25" right="0.25" top="0.5" bottom="0.5" header="0.5" footer="0.5"/>
  <pageSetup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87"/>
  <sheetViews>
    <sheetView view="pageBreakPreview" zoomScaleSheetLayoutView="100" workbookViewId="0" topLeftCell="A256">
      <selection activeCell="C262" sqref="C262"/>
    </sheetView>
  </sheetViews>
  <sheetFormatPr defaultColWidth="9.140625" defaultRowHeight="12.75"/>
  <cols>
    <col min="1" max="1" width="2.421875" style="34" customWidth="1"/>
    <col min="2" max="2" width="2.7109375" style="34" customWidth="1"/>
    <col min="3" max="3" width="30.140625" style="34" customWidth="1"/>
    <col min="4" max="4" width="9.8515625" style="34" customWidth="1"/>
    <col min="5" max="5" width="10.28125" style="34" customWidth="1"/>
    <col min="6" max="6" width="9.8515625" style="34" customWidth="1"/>
    <col min="7" max="7" width="0.85546875" style="34" customWidth="1"/>
    <col min="8" max="8" width="10.8515625" style="34" customWidth="1"/>
    <col min="9" max="10" width="9.140625" style="34" customWidth="1"/>
    <col min="11" max="12" width="0" style="34" hidden="1" customWidth="1"/>
    <col min="13" max="16384" width="9.140625" style="34" customWidth="1"/>
  </cols>
  <sheetData>
    <row r="2" spans="1:8" ht="12.75">
      <c r="A2" s="110"/>
      <c r="B2" s="110"/>
      <c r="C2" s="110"/>
      <c r="D2" s="110"/>
      <c r="E2" s="110"/>
      <c r="F2" s="109">
        <v>2007</v>
      </c>
      <c r="G2" s="109"/>
      <c r="H2" s="124"/>
    </row>
    <row r="3" spans="1:8" ht="12.75">
      <c r="A3" s="110"/>
      <c r="B3" s="110"/>
      <c r="C3" s="110"/>
      <c r="D3" s="110" t="s">
        <v>325</v>
      </c>
      <c r="E3" s="110"/>
      <c r="F3" s="111">
        <f>'Method - A'!M51</f>
        <v>-0.09343557431526865</v>
      </c>
      <c r="G3" s="111"/>
      <c r="H3" s="124"/>
    </row>
    <row r="4" spans="1:8" ht="12.75">
      <c r="A4" s="112" t="s">
        <v>327</v>
      </c>
      <c r="B4" s="113"/>
      <c r="C4" s="113"/>
      <c r="D4" s="113" t="s">
        <v>328</v>
      </c>
      <c r="E4" s="113"/>
      <c r="F4" s="111">
        <v>0.06</v>
      </c>
      <c r="G4" s="111"/>
      <c r="H4" s="137"/>
    </row>
    <row r="5" spans="1:8" ht="12.75">
      <c r="A5" s="110"/>
      <c r="B5" s="110"/>
      <c r="C5" s="110"/>
      <c r="D5" s="124" t="s">
        <v>332</v>
      </c>
      <c r="E5" s="124"/>
      <c r="F5" s="111">
        <f>SUM(F3:F4)</f>
        <v>-0.033435574315268654</v>
      </c>
      <c r="G5" s="111"/>
      <c r="H5" s="124"/>
    </row>
    <row r="6" spans="1:12" ht="12.75">
      <c r="A6" s="110"/>
      <c r="B6" s="110"/>
      <c r="C6" s="110"/>
      <c r="D6" s="110" t="s">
        <v>430</v>
      </c>
      <c r="E6" s="110"/>
      <c r="F6" s="114">
        <v>4.333</v>
      </c>
      <c r="G6" s="114"/>
      <c r="H6" s="110"/>
      <c r="L6" s="124"/>
    </row>
    <row r="7" spans="1:12" ht="12.75">
      <c r="A7" s="110"/>
      <c r="B7" s="110"/>
      <c r="C7" s="110"/>
      <c r="D7" s="110"/>
      <c r="E7" s="110"/>
      <c r="F7" s="114"/>
      <c r="G7" s="114"/>
      <c r="H7" s="110"/>
      <c r="K7" s="185" t="s">
        <v>499</v>
      </c>
      <c r="L7" s="124"/>
    </row>
    <row r="8" spans="1:12" ht="12.75">
      <c r="A8" s="115" t="s">
        <v>335</v>
      </c>
      <c r="B8" s="113"/>
      <c r="C8" s="113"/>
      <c r="D8" s="113"/>
      <c r="E8" s="113"/>
      <c r="F8" s="109">
        <v>2007</v>
      </c>
      <c r="G8" s="109"/>
      <c r="H8" s="109">
        <v>2007</v>
      </c>
      <c r="K8" s="109">
        <v>2007</v>
      </c>
      <c r="L8" s="109">
        <v>2007</v>
      </c>
    </row>
    <row r="9" spans="1:12" ht="12.75">
      <c r="A9" s="110"/>
      <c r="B9" s="110"/>
      <c r="C9" s="117"/>
      <c r="D9" s="132" t="s">
        <v>542</v>
      </c>
      <c r="E9" s="116"/>
      <c r="F9" s="132" t="s">
        <v>540</v>
      </c>
      <c r="G9" s="116"/>
      <c r="H9" s="132" t="s">
        <v>540</v>
      </c>
      <c r="K9" s="184" t="s">
        <v>500</v>
      </c>
      <c r="L9" s="184" t="s">
        <v>500</v>
      </c>
    </row>
    <row r="10" spans="1:12" ht="12.75">
      <c r="A10" s="118" t="s">
        <v>337</v>
      </c>
      <c r="B10" s="110"/>
      <c r="C10" s="110"/>
      <c r="D10" s="132" t="s">
        <v>543</v>
      </c>
      <c r="E10" s="116"/>
      <c r="F10" s="132" t="s">
        <v>172</v>
      </c>
      <c r="G10" s="116"/>
      <c r="H10" s="132" t="s">
        <v>541</v>
      </c>
      <c r="K10" s="116" t="s">
        <v>502</v>
      </c>
      <c r="L10" s="116" t="s">
        <v>503</v>
      </c>
    </row>
    <row r="11" spans="1:12" ht="12.75">
      <c r="A11" s="110" t="s">
        <v>429</v>
      </c>
      <c r="B11" s="110"/>
      <c r="C11" s="110"/>
      <c r="D11" s="121"/>
      <c r="E11" s="110"/>
      <c r="F11" s="110"/>
      <c r="G11" s="110"/>
      <c r="H11" s="121"/>
      <c r="K11" s="124"/>
      <c r="L11" s="124"/>
    </row>
    <row r="12" spans="1:8" ht="12.75">
      <c r="A12" s="110"/>
      <c r="B12" s="110" t="s">
        <v>343</v>
      </c>
      <c r="C12" s="110"/>
      <c r="D12" s="121"/>
      <c r="E12" s="110"/>
      <c r="F12" s="110"/>
      <c r="G12" s="110"/>
      <c r="H12" s="123"/>
    </row>
    <row r="13" spans="1:12" ht="12.75">
      <c r="A13" s="110"/>
      <c r="B13" s="110"/>
      <c r="C13" s="110" t="s">
        <v>422</v>
      </c>
      <c r="D13" s="121">
        <v>19.67</v>
      </c>
      <c r="E13" s="121"/>
      <c r="F13" s="121">
        <f>D13*(1+$F$3)</f>
        <v>17.832122253218667</v>
      </c>
      <c r="G13" s="121"/>
      <c r="H13" s="121">
        <f>F13*(1+$F$4)</f>
        <v>18.90204958841179</v>
      </c>
      <c r="K13" s="217">
        <f>+H13*3</f>
        <v>56.70614876523537</v>
      </c>
      <c r="L13" s="217">
        <f>+H13*0.230769230769231</f>
        <v>4.362011443479644</v>
      </c>
    </row>
    <row r="14" spans="1:12" ht="12.75">
      <c r="A14" s="110"/>
      <c r="B14" s="110"/>
      <c r="C14" s="110" t="s">
        <v>421</v>
      </c>
      <c r="D14" s="121">
        <v>39.34</v>
      </c>
      <c r="E14" s="121"/>
      <c r="F14" s="121">
        <f>D14*(1+$F$3)</f>
        <v>35.664244506437335</v>
      </c>
      <c r="G14" s="121"/>
      <c r="H14" s="121">
        <f>F14*(1+$F$4)</f>
        <v>37.80409917682358</v>
      </c>
      <c r="K14" s="217">
        <f aca="true" t="shared" si="0" ref="K14:K23">+H14*3</f>
        <v>113.41229753047074</v>
      </c>
      <c r="L14" s="217">
        <f aca="true" t="shared" si="1" ref="L14:L23">+H14*0.230769230769231</f>
        <v>8.724022886959288</v>
      </c>
    </row>
    <row r="15" spans="1:12" ht="12.75">
      <c r="A15" s="110"/>
      <c r="B15" s="110"/>
      <c r="C15" s="110" t="s">
        <v>423</v>
      </c>
      <c r="D15" s="121">
        <v>59.01</v>
      </c>
      <c r="E15" s="121"/>
      <c r="F15" s="121">
        <f>D15*(1+$F$3)</f>
        <v>53.496366759656</v>
      </c>
      <c r="G15" s="121"/>
      <c r="H15" s="121">
        <f>F15*(1+$F$4)</f>
        <v>56.70614876523536</v>
      </c>
      <c r="K15" s="217">
        <f t="shared" si="0"/>
        <v>170.1184462957061</v>
      </c>
      <c r="L15" s="217">
        <f t="shared" si="1"/>
        <v>13.086034330438931</v>
      </c>
    </row>
    <row r="16" spans="1:12" ht="12.75">
      <c r="A16" s="110"/>
      <c r="B16" s="110"/>
      <c r="C16" s="110" t="s">
        <v>369</v>
      </c>
      <c r="D16" s="121">
        <v>4.54</v>
      </c>
      <c r="E16" s="121"/>
      <c r="F16" s="121">
        <f>D16*(1+$F$3)</f>
        <v>4.1158024926086805</v>
      </c>
      <c r="G16" s="121"/>
      <c r="H16" s="121">
        <f>F16*(1+$F$4)</f>
        <v>4.362750642165201</v>
      </c>
      <c r="K16" s="217">
        <f t="shared" si="0"/>
        <v>13.088251926495603</v>
      </c>
      <c r="L16" s="217">
        <f t="shared" si="1"/>
        <v>1.006788609730431</v>
      </c>
    </row>
    <row r="17" spans="1:12" ht="12.75">
      <c r="A17" s="110"/>
      <c r="B17" s="110"/>
      <c r="C17" s="110" t="s">
        <v>504</v>
      </c>
      <c r="D17" s="121">
        <v>5.67</v>
      </c>
      <c r="E17" s="121"/>
      <c r="F17" s="121">
        <f>D17*(1+$F$3)</f>
        <v>5.140220293632427</v>
      </c>
      <c r="G17" s="121"/>
      <c r="H17" s="121">
        <f>F17*(1+$F$4)</f>
        <v>5.448633511250373</v>
      </c>
      <c r="K17" s="217">
        <f t="shared" si="0"/>
        <v>16.34590053375112</v>
      </c>
      <c r="L17" s="217">
        <f t="shared" si="1"/>
        <v>1.2573769641347015</v>
      </c>
    </row>
    <row r="18" spans="1:8" ht="12.75">
      <c r="A18" s="110"/>
      <c r="B18" s="110" t="s">
        <v>372</v>
      </c>
      <c r="C18" s="110"/>
      <c r="D18" s="121"/>
      <c r="E18" s="110"/>
      <c r="F18" s="121"/>
      <c r="G18" s="121"/>
      <c r="H18" s="124"/>
    </row>
    <row r="19" spans="1:12" ht="12.75">
      <c r="A19" s="110"/>
      <c r="B19" s="110"/>
      <c r="C19" s="110" t="s">
        <v>422</v>
      </c>
      <c r="D19" s="121">
        <v>26.75</v>
      </c>
      <c r="E19" s="121"/>
      <c r="F19" s="121">
        <f>D19*(1+$F$3)</f>
        <v>24.250598387066564</v>
      </c>
      <c r="G19" s="121"/>
      <c r="H19" s="121">
        <f>F19*(1+$F$4)</f>
        <v>25.705634290290558</v>
      </c>
      <c r="K19" s="217">
        <f t="shared" si="0"/>
        <v>77.11690287087167</v>
      </c>
      <c r="L19" s="217">
        <f t="shared" si="1"/>
        <v>5.932069451605513</v>
      </c>
    </row>
    <row r="20" spans="1:12" ht="12.75">
      <c r="A20" s="110"/>
      <c r="B20" s="110"/>
      <c r="C20" s="110" t="s">
        <v>421</v>
      </c>
      <c r="D20" s="121">
        <v>53.51</v>
      </c>
      <c r="E20" s="121"/>
      <c r="F20" s="121">
        <f>D20*(1+$F$3)</f>
        <v>48.51026241838998</v>
      </c>
      <c r="G20" s="121"/>
      <c r="H20" s="121">
        <f>F20*(1+$F$4)</f>
        <v>51.42087816349338</v>
      </c>
      <c r="K20" s="217">
        <f t="shared" si="0"/>
        <v>154.26263449048014</v>
      </c>
      <c r="L20" s="217">
        <f t="shared" si="1"/>
        <v>11.866356499267702</v>
      </c>
    </row>
    <row r="21" spans="1:12" ht="12.75">
      <c r="A21" s="110"/>
      <c r="B21" s="110"/>
      <c r="C21" s="110" t="s">
        <v>423</v>
      </c>
      <c r="D21" s="121">
        <v>80.26</v>
      </c>
      <c r="E21" s="121"/>
      <c r="F21" s="121">
        <f>D21*(1+$F$3)</f>
        <v>72.76086080545655</v>
      </c>
      <c r="G21" s="121"/>
      <c r="H21" s="121">
        <f>F21*(1+$F$4)</f>
        <v>77.12651245378395</v>
      </c>
      <c r="K21" s="217">
        <f t="shared" si="0"/>
        <v>231.37953736135182</v>
      </c>
      <c r="L21" s="217">
        <f t="shared" si="1"/>
        <v>17.79842595087322</v>
      </c>
    </row>
    <row r="22" spans="1:12" ht="12.75">
      <c r="A22" s="110"/>
      <c r="B22" s="110"/>
      <c r="C22" s="110" t="s">
        <v>369</v>
      </c>
      <c r="D22" s="121">
        <v>6.17</v>
      </c>
      <c r="E22" s="121"/>
      <c r="F22" s="121">
        <f>D22*(1+$F$3)</f>
        <v>5.593502506474793</v>
      </c>
      <c r="G22" s="121"/>
      <c r="H22" s="121">
        <f>F22*(1+$F$4)</f>
        <v>5.929112656863281</v>
      </c>
      <c r="K22" s="217">
        <f t="shared" si="0"/>
        <v>17.787337970589842</v>
      </c>
      <c r="L22" s="217">
        <f t="shared" si="1"/>
        <v>1.3682567669684496</v>
      </c>
    </row>
    <row r="23" spans="1:12" ht="12.75">
      <c r="A23" s="110"/>
      <c r="B23" s="110"/>
      <c r="C23" s="110" t="s">
        <v>504</v>
      </c>
      <c r="D23" s="121">
        <v>7.72</v>
      </c>
      <c r="E23" s="121"/>
      <c r="F23" s="121">
        <f>D23*(1+$F$3)</f>
        <v>6.998677366286126</v>
      </c>
      <c r="G23" s="121"/>
      <c r="H23" s="121">
        <f>F23*(1+$F$4)</f>
        <v>7.418598008263293</v>
      </c>
      <c r="K23" s="217">
        <f t="shared" si="0"/>
        <v>22.25579402478988</v>
      </c>
      <c r="L23" s="217">
        <f t="shared" si="1"/>
        <v>1.7119841557530677</v>
      </c>
    </row>
    <row r="24" spans="1:11" ht="12.75">
      <c r="A24" s="110"/>
      <c r="B24" s="134" t="s">
        <v>464</v>
      </c>
      <c r="C24" s="134"/>
      <c r="D24" s="136"/>
      <c r="E24" s="136"/>
      <c r="F24" s="136"/>
      <c r="G24" s="136"/>
      <c r="H24" s="136"/>
      <c r="K24" s="217"/>
    </row>
    <row r="25" spans="1:12" ht="12.75">
      <c r="A25" s="110"/>
      <c r="B25" s="134"/>
      <c r="C25" s="134" t="s">
        <v>422</v>
      </c>
      <c r="D25" s="136">
        <f>28.36/1.06</f>
        <v>26.754716981132074</v>
      </c>
      <c r="E25" s="136"/>
      <c r="F25" s="136">
        <f>D25*(1+$F$3)</f>
        <v>24.254874634357527</v>
      </c>
      <c r="G25" s="136"/>
      <c r="H25" s="136">
        <f>F25*(1+$F$4)</f>
        <v>25.71016711241898</v>
      </c>
      <c r="K25" s="217">
        <f>+H25*3</f>
        <v>77.13050133725693</v>
      </c>
      <c r="L25" s="217">
        <f>+H25*0.230769230769231</f>
        <v>5.933115487481303</v>
      </c>
    </row>
    <row r="26" spans="1:12" ht="12.75">
      <c r="A26" s="110"/>
      <c r="B26" s="134"/>
      <c r="C26" s="134" t="s">
        <v>421</v>
      </c>
      <c r="D26" s="136">
        <f>56.71/1.06</f>
        <v>53.5</v>
      </c>
      <c r="E26" s="136"/>
      <c r="F26" s="136">
        <f>D26*(1+$F$3)</f>
        <v>48.50119677413313</v>
      </c>
      <c r="G26" s="136"/>
      <c r="H26" s="136">
        <f>F26*(1+$F$4)</f>
        <v>51.411268580581115</v>
      </c>
      <c r="K26" s="217">
        <f>+H26*3</f>
        <v>154.23380574174334</v>
      </c>
      <c r="L26" s="217">
        <f>+H26*0.230769230769231</f>
        <v>11.864138903211026</v>
      </c>
    </row>
    <row r="27" spans="1:12" ht="12.75">
      <c r="A27" s="110"/>
      <c r="B27" s="134"/>
      <c r="C27" s="134" t="s">
        <v>423</v>
      </c>
      <c r="D27" s="136">
        <f>85.07/1.06</f>
        <v>80.25471698113206</v>
      </c>
      <c r="E27" s="136"/>
      <c r="F27" s="136">
        <f>D27*(1+$F$3)</f>
        <v>72.75607140849066</v>
      </c>
      <c r="G27" s="136"/>
      <c r="H27" s="136">
        <f>F27*(1+$F$4)</f>
        <v>77.1214356930001</v>
      </c>
      <c r="K27" s="217">
        <f>+H27*3</f>
        <v>231.3643070790003</v>
      </c>
      <c r="L27" s="217">
        <f>+H27*0.230769230769231</f>
        <v>17.79725439069233</v>
      </c>
    </row>
    <row r="28" spans="1:12" ht="12.75">
      <c r="A28" s="110"/>
      <c r="B28" s="134"/>
      <c r="C28" s="134" t="s">
        <v>504</v>
      </c>
      <c r="D28" s="136">
        <f>8.18/1.06</f>
        <v>7.716981132075471</v>
      </c>
      <c r="E28" s="136"/>
      <c r="F28" s="136">
        <f>D28*(1+$F$3)</f>
        <v>6.995940568019908</v>
      </c>
      <c r="G28" s="136"/>
      <c r="H28" s="136">
        <f>F28*(1+$F$4)</f>
        <v>7.415697002101102</v>
      </c>
      <c r="K28" s="217">
        <f>+H28*3</f>
        <v>22.247091006303307</v>
      </c>
      <c r="L28" s="217">
        <f>+H28*0.230769230769231</f>
        <v>1.7113146927925622</v>
      </c>
    </row>
    <row r="29" spans="1:11" ht="12.75">
      <c r="A29" s="110"/>
      <c r="B29" s="134" t="s">
        <v>544</v>
      </c>
      <c r="C29" s="134"/>
      <c r="D29" s="136"/>
      <c r="E29" s="136"/>
      <c r="F29" s="136"/>
      <c r="G29" s="136"/>
      <c r="H29" s="136"/>
      <c r="K29" s="217"/>
    </row>
    <row r="30" spans="1:11" ht="12.75">
      <c r="A30" s="110"/>
      <c r="B30" s="218" t="s">
        <v>545</v>
      </c>
      <c r="C30" s="195"/>
      <c r="D30" s="136"/>
      <c r="E30" s="136"/>
      <c r="F30" s="136"/>
      <c r="G30" s="136"/>
      <c r="H30" s="136"/>
      <c r="K30" s="217"/>
    </row>
    <row r="31" spans="1:12" ht="12.75">
      <c r="A31" s="110"/>
      <c r="B31" s="134" t="s">
        <v>546</v>
      </c>
      <c r="C31" s="195"/>
      <c r="D31" s="136">
        <f>62.4/1.06</f>
        <v>58.867924528301884</v>
      </c>
      <c r="E31" s="136"/>
      <c r="F31" s="136">
        <f>D31*(1+$F$3)</f>
        <v>53.36756619125211</v>
      </c>
      <c r="G31" s="136"/>
      <c r="H31" s="136">
        <f>F31*(1+$F$4)</f>
        <v>56.56962016272724</v>
      </c>
      <c r="K31" s="217">
        <f>+H31*3</f>
        <v>169.70886048818173</v>
      </c>
      <c r="L31" s="217">
        <f>+H31*0.230769230769231</f>
        <v>13.054527729860133</v>
      </c>
    </row>
    <row r="32" spans="1:12" ht="12.75" hidden="1">
      <c r="A32" s="110"/>
      <c r="B32" s="227" t="s">
        <v>507</v>
      </c>
      <c r="C32" s="134" t="s">
        <v>422</v>
      </c>
      <c r="D32" s="136">
        <f>81.27/1.06</f>
        <v>76.6698113207547</v>
      </c>
      <c r="E32" s="136"/>
      <c r="F32" s="136">
        <f>D32*(1+$F$3)</f>
        <v>69.5061234673567</v>
      </c>
      <c r="G32" s="136"/>
      <c r="H32" s="136">
        <f>F32*(1+$F$4)</f>
        <v>73.6764908753981</v>
      </c>
      <c r="K32" s="217">
        <f>+H32*3</f>
        <v>221.02947262619432</v>
      </c>
      <c r="L32" s="217">
        <f>+H32*0.230769230769231</f>
        <v>17.00226712509187</v>
      </c>
    </row>
    <row r="33" spans="1:12" ht="12.75" hidden="1">
      <c r="A33" s="110"/>
      <c r="B33" s="227"/>
      <c r="C33" s="134" t="s">
        <v>421</v>
      </c>
      <c r="D33" s="136">
        <f>104.1/1.06</f>
        <v>98.2075471698113</v>
      </c>
      <c r="E33" s="136"/>
      <c r="F33" s="136">
        <f>D33*(1+$F$3)</f>
        <v>89.03146859790616</v>
      </c>
      <c r="G33" s="136"/>
      <c r="H33" s="136">
        <f>F33*(1+$F$4)</f>
        <v>94.37335671378052</v>
      </c>
      <c r="K33" s="217">
        <f>+H33*3</f>
        <v>283.12007014134156</v>
      </c>
      <c r="L33" s="217">
        <f>+H33*0.230769230769231</f>
        <v>21.778466933949353</v>
      </c>
    </row>
    <row r="34" spans="1:12" ht="12.75" hidden="1">
      <c r="A34" s="110"/>
      <c r="B34" s="227"/>
      <c r="C34" s="134" t="s">
        <v>423</v>
      </c>
      <c r="D34" s="136">
        <f>124.95/1.06</f>
        <v>117.87735849056604</v>
      </c>
      <c r="E34" s="136"/>
      <c r="F34" s="136">
        <f>D34*(1+$F$3)</f>
        <v>106.86341980123319</v>
      </c>
      <c r="G34" s="136"/>
      <c r="H34" s="136">
        <f>F34*(1+$F$4)</f>
        <v>113.27522498930719</v>
      </c>
      <c r="K34" s="217">
        <f>+H34*3</f>
        <v>339.8256749679216</v>
      </c>
      <c r="L34" s="217">
        <f>+H34*0.230769230769231</f>
        <v>26.140436535993967</v>
      </c>
    </row>
    <row r="35" spans="1:11" ht="12.75">
      <c r="A35" s="110"/>
      <c r="B35" s="110"/>
      <c r="C35" s="110"/>
      <c r="D35" s="121"/>
      <c r="E35" s="121"/>
      <c r="F35" s="121"/>
      <c r="G35" s="121"/>
      <c r="H35" s="121"/>
      <c r="K35" s="217"/>
    </row>
    <row r="36" spans="2:11" ht="12.75">
      <c r="B36" s="134" t="s">
        <v>552</v>
      </c>
      <c r="C36" s="134"/>
      <c r="D36" s="136">
        <f>85.3/1.06</f>
        <v>80.47169811320754</v>
      </c>
      <c r="E36" s="195"/>
      <c r="F36" s="136">
        <f>D36*(1+$F$3)</f>
        <v>72.95277878387508</v>
      </c>
      <c r="G36" s="136"/>
      <c r="H36" s="136">
        <f>ROUND(F36*(1+$F$4),2)</f>
        <v>77.33</v>
      </c>
      <c r="K36" s="217"/>
    </row>
    <row r="37" spans="1:8" ht="12.75">
      <c r="A37" s="110"/>
      <c r="B37" s="110"/>
      <c r="C37" s="110"/>
      <c r="D37" s="121"/>
      <c r="E37" s="121"/>
      <c r="F37" s="121"/>
      <c r="G37" s="121"/>
      <c r="H37" s="121"/>
    </row>
    <row r="38" spans="1:8" ht="12.75">
      <c r="A38" s="110" t="s">
        <v>420</v>
      </c>
      <c r="B38" s="110"/>
      <c r="C38" s="110"/>
      <c r="D38" s="121"/>
      <c r="E38" s="121"/>
      <c r="F38" s="121"/>
      <c r="G38" s="121"/>
      <c r="H38" s="121"/>
    </row>
    <row r="39" spans="2:8" ht="12.75" hidden="1">
      <c r="B39" s="227" t="s">
        <v>507</v>
      </c>
      <c r="C39" s="187" t="s">
        <v>508</v>
      </c>
      <c r="D39" s="121"/>
      <c r="E39" s="121"/>
      <c r="F39" s="121"/>
      <c r="G39" s="121"/>
      <c r="H39" s="121"/>
    </row>
    <row r="40" spans="2:8" ht="12.75" hidden="1">
      <c r="B40" s="227"/>
      <c r="C40" s="188" t="s">
        <v>509</v>
      </c>
      <c r="D40" s="121"/>
      <c r="E40" s="121"/>
      <c r="F40" s="121"/>
      <c r="G40" s="121"/>
      <c r="H40" s="121"/>
    </row>
    <row r="41" spans="2:8" ht="12.75" hidden="1">
      <c r="B41" s="227"/>
      <c r="C41" s="188" t="s">
        <v>510</v>
      </c>
      <c r="D41" s="121"/>
      <c r="E41" s="121"/>
      <c r="F41" s="121"/>
      <c r="G41" s="121"/>
      <c r="H41" s="121"/>
    </row>
    <row r="42" spans="2:8" ht="12.75" hidden="1">
      <c r="B42" s="227" t="s">
        <v>507</v>
      </c>
      <c r="C42" s="188" t="s">
        <v>511</v>
      </c>
      <c r="D42" s="121"/>
      <c r="E42" s="121"/>
      <c r="F42" s="121"/>
      <c r="G42" s="121"/>
      <c r="H42" s="121"/>
    </row>
    <row r="43" spans="2:8" ht="12.75" hidden="1">
      <c r="B43" s="227"/>
      <c r="C43" s="188" t="s">
        <v>512</v>
      </c>
      <c r="D43" s="121"/>
      <c r="E43" s="121"/>
      <c r="F43" s="121"/>
      <c r="G43" s="121"/>
      <c r="H43" s="121"/>
    </row>
    <row r="44" spans="2:8" ht="12.75" hidden="1">
      <c r="B44" s="227"/>
      <c r="C44" s="189" t="str">
        <f>"7) An IN/OUT CHARGE $"&amp;H36&amp;" applies for changes within 6 months."</f>
        <v>7) An IN/OUT CHARGE $77.33 applies for changes within 6 months.</v>
      </c>
      <c r="D44" s="121"/>
      <c r="E44" s="121"/>
      <c r="F44" s="121"/>
      <c r="G44" s="121"/>
      <c r="H44" s="121"/>
    </row>
    <row r="45" spans="1:8" ht="12.75">
      <c r="A45" s="110"/>
      <c r="B45" s="110"/>
      <c r="C45" s="110"/>
      <c r="D45" s="121"/>
      <c r="E45" s="121"/>
      <c r="F45" s="121"/>
      <c r="G45" s="121"/>
      <c r="H45" s="121"/>
    </row>
    <row r="46" spans="1:8" ht="12.75">
      <c r="A46" s="110"/>
      <c r="B46" s="110"/>
      <c r="C46" s="110"/>
      <c r="D46" s="110"/>
      <c r="E46" s="110"/>
      <c r="F46" s="109">
        <v>2007</v>
      </c>
      <c r="G46" s="109"/>
      <c r="H46" s="124"/>
    </row>
    <row r="47" spans="1:8" ht="12.75">
      <c r="A47" s="110"/>
      <c r="B47" s="110"/>
      <c r="C47" s="110"/>
      <c r="D47" s="110" t="s">
        <v>325</v>
      </c>
      <c r="E47" s="110"/>
      <c r="F47" s="111">
        <f>+'Method - A'!M51</f>
        <v>-0.09343557431526865</v>
      </c>
      <c r="G47" s="111"/>
      <c r="H47" s="124"/>
    </row>
    <row r="48" spans="1:8" ht="12.75">
      <c r="A48" s="112" t="s">
        <v>327</v>
      </c>
      <c r="B48" s="113"/>
      <c r="C48" s="113"/>
      <c r="D48" s="113" t="s">
        <v>328</v>
      </c>
      <c r="E48" s="113"/>
      <c r="F48" s="111">
        <v>0.06</v>
      </c>
      <c r="G48" s="111"/>
      <c r="H48" s="137"/>
    </row>
    <row r="49" spans="1:8" ht="12.75">
      <c r="A49" s="110"/>
      <c r="B49" s="110"/>
      <c r="C49" s="110"/>
      <c r="D49" s="124" t="s">
        <v>332</v>
      </c>
      <c r="E49" s="124"/>
      <c r="F49" s="111">
        <f>SUM(F47:F48)</f>
        <v>-0.033435574315268654</v>
      </c>
      <c r="G49" s="111"/>
      <c r="H49" s="124"/>
    </row>
    <row r="50" spans="1:8" ht="12.75">
      <c r="A50" s="110"/>
      <c r="B50" s="110"/>
      <c r="C50" s="110"/>
      <c r="D50" s="110" t="s">
        <v>430</v>
      </c>
      <c r="E50" s="110"/>
      <c r="F50" s="114">
        <v>4.333</v>
      </c>
      <c r="G50" s="114"/>
      <c r="H50" s="110"/>
    </row>
    <row r="51" spans="1:8" ht="12.75">
      <c r="A51" s="115" t="s">
        <v>335</v>
      </c>
      <c r="B51" s="113"/>
      <c r="C51" s="113"/>
      <c r="D51" s="113"/>
      <c r="E51" s="113"/>
      <c r="F51" s="116"/>
      <c r="G51" s="116"/>
      <c r="H51" s="116"/>
    </row>
    <row r="52" spans="1:10" ht="12.75">
      <c r="A52" s="110"/>
      <c r="B52" s="110"/>
      <c r="C52" s="110"/>
      <c r="D52" s="116"/>
      <c r="E52" s="116"/>
      <c r="F52" s="116"/>
      <c r="G52" s="116"/>
      <c r="H52" s="116"/>
      <c r="I52" s="116"/>
      <c r="J52" s="116"/>
    </row>
    <row r="53" spans="1:10" ht="12.75">
      <c r="A53" s="216" t="s">
        <v>337</v>
      </c>
      <c r="B53" s="110"/>
      <c r="C53" s="110"/>
      <c r="D53" s="229" t="str">
        <f>"----------Current Monthly Rate----------"</f>
        <v>----------Current Monthly Rate----------</v>
      </c>
      <c r="E53" s="229"/>
      <c r="F53" s="229"/>
      <c r="G53" s="229"/>
      <c r="H53" s="229"/>
      <c r="I53" s="229"/>
      <c r="J53" s="120"/>
    </row>
    <row r="54" spans="1:10" ht="12.75">
      <c r="A54" s="115" t="s">
        <v>338</v>
      </c>
      <c r="B54" s="110"/>
      <c r="C54" s="110"/>
      <c r="D54" s="122"/>
      <c r="E54" s="116"/>
      <c r="F54" s="116"/>
      <c r="G54" s="116"/>
      <c r="H54" s="116" t="s">
        <v>339</v>
      </c>
      <c r="I54" s="116" t="s">
        <v>339</v>
      </c>
      <c r="J54" s="116"/>
    </row>
    <row r="55" spans="1:10" ht="12.75">
      <c r="A55" s="110"/>
      <c r="B55" s="110"/>
      <c r="C55" s="110"/>
      <c r="D55" s="122" t="s">
        <v>344</v>
      </c>
      <c r="E55" s="122" t="s">
        <v>345</v>
      </c>
      <c r="F55" s="122" t="s">
        <v>346</v>
      </c>
      <c r="G55" s="122"/>
      <c r="H55" s="122" t="s">
        <v>347</v>
      </c>
      <c r="I55" s="122" t="s">
        <v>348</v>
      </c>
      <c r="J55" s="122"/>
    </row>
    <row r="56" spans="1:10" ht="12.75">
      <c r="A56" s="126" t="s">
        <v>352</v>
      </c>
      <c r="B56" s="125"/>
      <c r="C56" s="124"/>
      <c r="D56" s="121"/>
      <c r="E56" s="121"/>
      <c r="F56" s="121"/>
      <c r="G56" s="121"/>
      <c r="H56" s="121"/>
      <c r="I56" s="121"/>
      <c r="J56" s="121"/>
    </row>
    <row r="57" spans="1:10" ht="12.75">
      <c r="A57" s="110"/>
      <c r="B57" s="126">
        <v>1</v>
      </c>
      <c r="C57" s="124"/>
      <c r="D57" s="121">
        <v>264.4</v>
      </c>
      <c r="E57" s="121">
        <v>489.84</v>
      </c>
      <c r="F57" s="121">
        <v>715.29</v>
      </c>
      <c r="G57" s="121"/>
      <c r="H57" s="121">
        <v>55.45</v>
      </c>
      <c r="I57" s="121">
        <v>110.89</v>
      </c>
      <c r="J57" s="121"/>
    </row>
    <row r="58" spans="1:10" ht="12.75">
      <c r="A58" s="110"/>
      <c r="B58" s="126">
        <v>2</v>
      </c>
      <c r="C58" s="124"/>
      <c r="D58" s="121">
        <v>489.84</v>
      </c>
      <c r="E58" s="121">
        <v>940.74</v>
      </c>
      <c r="F58" s="121">
        <v>1391.63</v>
      </c>
      <c r="G58" s="121"/>
      <c r="H58" s="121">
        <v>110.89</v>
      </c>
      <c r="I58" s="121">
        <v>221.79</v>
      </c>
      <c r="J58" s="121"/>
    </row>
    <row r="59" spans="1:10" ht="12.75">
      <c r="A59" s="110"/>
      <c r="B59" s="126">
        <v>3</v>
      </c>
      <c r="C59" s="124"/>
      <c r="D59" s="121">
        <v>715.29</v>
      </c>
      <c r="E59" s="121">
        <v>1391.63</v>
      </c>
      <c r="F59" s="121">
        <v>2067.98</v>
      </c>
      <c r="G59" s="121"/>
      <c r="H59" s="121">
        <v>166.34</v>
      </c>
      <c r="I59" s="121">
        <v>332.68</v>
      </c>
      <c r="J59" s="121"/>
    </row>
    <row r="60" spans="1:10" ht="12.75">
      <c r="A60" s="110"/>
      <c r="B60" s="126">
        <v>4</v>
      </c>
      <c r="C60" s="124"/>
      <c r="D60" s="121">
        <v>940.74</v>
      </c>
      <c r="E60" s="121">
        <v>1842.53</v>
      </c>
      <c r="F60" s="121">
        <v>2744.32</v>
      </c>
      <c r="G60" s="121"/>
      <c r="H60" s="121">
        <v>221.79</v>
      </c>
      <c r="I60" s="121">
        <v>443.58</v>
      </c>
      <c r="J60" s="121"/>
    </row>
    <row r="61" spans="1:10" ht="12.75">
      <c r="A61" s="110"/>
      <c r="B61" s="126">
        <v>5</v>
      </c>
      <c r="C61" s="124"/>
      <c r="D61" s="121">
        <v>1166.19</v>
      </c>
      <c r="E61" s="121">
        <v>2293.42</v>
      </c>
      <c r="F61" s="121">
        <v>3420.66</v>
      </c>
      <c r="G61" s="121"/>
      <c r="H61" s="121">
        <v>277.24</v>
      </c>
      <c r="I61" s="121">
        <v>554.47</v>
      </c>
      <c r="J61" s="121"/>
    </row>
    <row r="62" spans="1:10" ht="12.75">
      <c r="A62" s="110"/>
      <c r="B62" s="110" t="s">
        <v>363</v>
      </c>
      <c r="C62" s="124"/>
      <c r="D62" s="121">
        <v>381.55</v>
      </c>
      <c r="E62" s="121">
        <v>763.14</v>
      </c>
      <c r="F62" s="121">
        <v>1144.68</v>
      </c>
      <c r="G62" s="121"/>
      <c r="H62" s="121">
        <v>83.23</v>
      </c>
      <c r="I62" s="121">
        <v>166.46</v>
      </c>
      <c r="J62" s="121"/>
    </row>
    <row r="63" spans="1:10" ht="12.75">
      <c r="A63" s="110"/>
      <c r="B63" s="110" t="s">
        <v>376</v>
      </c>
      <c r="C63" s="124"/>
      <c r="D63" s="121">
        <v>65.04</v>
      </c>
      <c r="E63" s="121">
        <v>130.08</v>
      </c>
      <c r="F63" s="121">
        <v>195.13</v>
      </c>
      <c r="G63" s="121"/>
      <c r="H63" s="121">
        <v>16.01</v>
      </c>
      <c r="I63" s="121">
        <v>32.01</v>
      </c>
      <c r="J63" s="121"/>
    </row>
    <row r="64" spans="1:10" ht="12.75">
      <c r="A64" s="110"/>
      <c r="B64" s="110" t="s">
        <v>380</v>
      </c>
      <c r="C64" s="124"/>
      <c r="D64" s="121">
        <v>92.89</v>
      </c>
      <c r="E64" s="121">
        <v>220.16</v>
      </c>
      <c r="F64" s="121">
        <v>330.24</v>
      </c>
      <c r="G64" s="121"/>
      <c r="H64" s="121">
        <v>24.02</v>
      </c>
      <c r="I64" s="121">
        <v>48.04</v>
      </c>
      <c r="J64" s="121"/>
    </row>
    <row r="65" spans="1:10" ht="12.75">
      <c r="A65" s="110"/>
      <c r="B65" s="110" t="s">
        <v>547</v>
      </c>
      <c r="C65" s="124"/>
      <c r="D65" s="121">
        <v>26.02</v>
      </c>
      <c r="E65" s="121"/>
      <c r="F65" s="121"/>
      <c r="G65" s="121"/>
      <c r="H65" s="121"/>
      <c r="I65" s="121"/>
      <c r="J65" s="121"/>
    </row>
    <row r="66" spans="1:10" ht="12.75">
      <c r="A66" s="110"/>
      <c r="B66" s="110" t="s">
        <v>548</v>
      </c>
      <c r="C66" s="124"/>
      <c r="D66" s="121">
        <v>38.95</v>
      </c>
      <c r="E66" s="121"/>
      <c r="F66" s="121"/>
      <c r="G66" s="121"/>
      <c r="H66" s="121"/>
      <c r="I66" s="121"/>
      <c r="J66" s="121"/>
    </row>
    <row r="67" spans="1:10" ht="12.75">
      <c r="A67" s="110"/>
      <c r="B67" s="110" t="s">
        <v>390</v>
      </c>
      <c r="C67" s="110"/>
      <c r="D67" s="121">
        <v>137.78</v>
      </c>
      <c r="E67" s="121"/>
      <c r="F67" s="121"/>
      <c r="G67" s="121"/>
      <c r="H67" s="121"/>
      <c r="I67" s="121"/>
      <c r="J67" s="121"/>
    </row>
    <row r="68" spans="1:10" ht="12.75">
      <c r="A68" s="110"/>
      <c r="B68" s="110" t="s">
        <v>394</v>
      </c>
      <c r="C68" s="110"/>
      <c r="D68" s="121">
        <v>74.9</v>
      </c>
      <c r="E68" s="121"/>
      <c r="F68" s="121"/>
      <c r="G68" s="121"/>
      <c r="H68" s="121"/>
      <c r="I68" s="121"/>
      <c r="J68" s="121"/>
    </row>
    <row r="69" spans="1:10" ht="12.75">
      <c r="A69" s="110"/>
      <c r="B69" s="110" t="s">
        <v>396</v>
      </c>
      <c r="C69" s="110"/>
      <c r="D69" s="121">
        <v>23.79</v>
      </c>
      <c r="E69" s="121"/>
      <c r="F69" s="121"/>
      <c r="G69" s="121"/>
      <c r="H69" s="121"/>
      <c r="I69" s="121"/>
      <c r="J69" s="121"/>
    </row>
    <row r="70" spans="1:10" ht="12.75">
      <c r="A70" s="110"/>
      <c r="B70" s="110" t="s">
        <v>398</v>
      </c>
      <c r="C70" s="110"/>
      <c r="D70" s="121">
        <v>65.28</v>
      </c>
      <c r="E70" s="121"/>
      <c r="F70" s="121"/>
      <c r="G70" s="121"/>
      <c r="H70" s="121"/>
      <c r="I70" s="121"/>
      <c r="J70" s="121"/>
    </row>
    <row r="71" spans="1:10" ht="12.75">
      <c r="A71" s="110"/>
      <c r="B71" s="110"/>
      <c r="C71" s="110"/>
      <c r="D71" s="230">
        <v>2007</v>
      </c>
      <c r="E71" s="230"/>
      <c r="F71" s="230"/>
      <c r="G71" s="230"/>
      <c r="H71" s="230"/>
      <c r="I71" s="230"/>
      <c r="J71" s="121"/>
    </row>
    <row r="72" spans="1:10" ht="12.75">
      <c r="A72" s="118"/>
      <c r="B72" s="110"/>
      <c r="C72" s="110"/>
      <c r="D72" s="229" t="str">
        <f>"----------New Monthly Rate----------"</f>
        <v>----------New Monthly Rate----------</v>
      </c>
      <c r="E72" s="229"/>
      <c r="F72" s="229"/>
      <c r="G72" s="229"/>
      <c r="H72" s="229"/>
      <c r="I72" s="229"/>
      <c r="J72" s="120"/>
    </row>
    <row r="73" spans="1:10" ht="12.75">
      <c r="A73" s="110"/>
      <c r="B73" s="110"/>
      <c r="C73" s="110"/>
      <c r="D73" s="122"/>
      <c r="E73" s="116"/>
      <c r="F73" s="116"/>
      <c r="G73" s="116"/>
      <c r="H73" s="116" t="s">
        <v>339</v>
      </c>
      <c r="I73" s="116" t="s">
        <v>339</v>
      </c>
      <c r="J73" s="116"/>
    </row>
    <row r="74" spans="1:10" ht="12.75">
      <c r="A74" s="110"/>
      <c r="B74" s="110"/>
      <c r="C74" s="110"/>
      <c r="D74" s="122" t="s">
        <v>344</v>
      </c>
      <c r="E74" s="122" t="s">
        <v>345</v>
      </c>
      <c r="F74" s="122" t="s">
        <v>346</v>
      </c>
      <c r="G74" s="122"/>
      <c r="H74" s="122" t="s">
        <v>347</v>
      </c>
      <c r="I74" s="122" t="s">
        <v>348</v>
      </c>
      <c r="J74" s="122"/>
    </row>
    <row r="75" spans="1:10" ht="12.75">
      <c r="A75" s="125" t="s">
        <v>352</v>
      </c>
      <c r="B75" s="125"/>
      <c r="C75" s="124"/>
      <c r="D75" s="121"/>
      <c r="E75" s="121"/>
      <c r="F75" s="121"/>
      <c r="G75" s="121"/>
      <c r="H75" s="121"/>
      <c r="I75" s="121"/>
      <c r="J75" s="121"/>
    </row>
    <row r="76" spans="1:10" ht="12.75">
      <c r="A76" s="110"/>
      <c r="B76" s="126">
        <v>1</v>
      </c>
      <c r="C76" s="124"/>
      <c r="D76" s="121">
        <f>D57*(1+$F$3)</f>
        <v>239.69563415104295</v>
      </c>
      <c r="E76" s="121">
        <f>E57*(1+$F$3)</f>
        <v>444.0715182774088</v>
      </c>
      <c r="F76" s="121">
        <f>F57*(1+$F$3)</f>
        <v>648.4564680480315</v>
      </c>
      <c r="G76" s="121"/>
      <c r="H76" s="121">
        <f>H57*(1+$F$3)</f>
        <v>50.26899740421836</v>
      </c>
      <c r="I76" s="121">
        <f>I57*(1+$F$3)</f>
        <v>100.52892916417987</v>
      </c>
      <c r="J76" s="121"/>
    </row>
    <row r="77" spans="1:10" ht="12.75">
      <c r="A77" s="110"/>
      <c r="B77" s="126">
        <v>2</v>
      </c>
      <c r="C77" s="124"/>
      <c r="D77" s="121">
        <f aca="true" t="shared" si="2" ref="D77:I89">D58*(1+$F$3)</f>
        <v>444.0715182774088</v>
      </c>
      <c r="E77" s="121">
        <f t="shared" si="2"/>
        <v>852.8414178186542</v>
      </c>
      <c r="F77" s="121">
        <f t="shared" si="2"/>
        <v>1261.6022517156428</v>
      </c>
      <c r="G77" s="121"/>
      <c r="H77" s="121">
        <f t="shared" si="2"/>
        <v>100.52892916417987</v>
      </c>
      <c r="I77" s="121">
        <f t="shared" si="2"/>
        <v>201.06692397261656</v>
      </c>
      <c r="J77" s="121"/>
    </row>
    <row r="78" spans="1:10" ht="12.75">
      <c r="A78" s="110"/>
      <c r="B78" s="126">
        <v>3</v>
      </c>
      <c r="C78" s="124"/>
      <c r="D78" s="121">
        <f t="shared" si="2"/>
        <v>648.4564680480315</v>
      </c>
      <c r="E78" s="121">
        <f t="shared" si="2"/>
        <v>1261.6022517156428</v>
      </c>
      <c r="F78" s="121">
        <f t="shared" si="2"/>
        <v>1874.7571010275108</v>
      </c>
      <c r="G78" s="121"/>
      <c r="H78" s="121">
        <f t="shared" si="2"/>
        <v>150.79792656839822</v>
      </c>
      <c r="I78" s="121">
        <f t="shared" si="2"/>
        <v>301.59585313679645</v>
      </c>
      <c r="J78" s="121"/>
    </row>
    <row r="79" spans="1:10" ht="12.75">
      <c r="A79" s="110"/>
      <c r="B79" s="126">
        <v>4</v>
      </c>
      <c r="C79" s="124"/>
      <c r="D79" s="121">
        <f t="shared" si="2"/>
        <v>852.8414178186542</v>
      </c>
      <c r="E79" s="121">
        <f t="shared" si="2"/>
        <v>1670.3721512568882</v>
      </c>
      <c r="F79" s="121">
        <f t="shared" si="2"/>
        <v>2487.9028846951223</v>
      </c>
      <c r="G79" s="121"/>
      <c r="H79" s="121">
        <f t="shared" si="2"/>
        <v>201.06692397261656</v>
      </c>
      <c r="I79" s="121">
        <f t="shared" si="2"/>
        <v>402.13384794523313</v>
      </c>
      <c r="J79" s="121"/>
    </row>
    <row r="80" spans="1:10" ht="12.75">
      <c r="A80" s="110"/>
      <c r="B80" s="126">
        <v>5</v>
      </c>
      <c r="C80" s="124"/>
      <c r="D80" s="121">
        <f t="shared" si="2"/>
        <v>1057.226367589277</v>
      </c>
      <c r="E80" s="121">
        <f t="shared" si="2"/>
        <v>2079.1329851538767</v>
      </c>
      <c r="F80" s="121">
        <f t="shared" si="2"/>
        <v>3101.048668362733</v>
      </c>
      <c r="G80" s="121"/>
      <c r="H80" s="121">
        <f t="shared" si="2"/>
        <v>251.33592137683493</v>
      </c>
      <c r="I80" s="121">
        <f t="shared" si="2"/>
        <v>502.662777109413</v>
      </c>
      <c r="J80" s="121"/>
    </row>
    <row r="81" spans="1:10" ht="12.75">
      <c r="A81" s="110"/>
      <c r="B81" s="110" t="s">
        <v>363</v>
      </c>
      <c r="C81" s="124"/>
      <c r="D81" s="121">
        <f t="shared" si="2"/>
        <v>345.8996566200093</v>
      </c>
      <c r="E81" s="121">
        <f t="shared" si="2"/>
        <v>691.8355758170459</v>
      </c>
      <c r="F81" s="121">
        <f t="shared" si="2"/>
        <v>1037.7261667927985</v>
      </c>
      <c r="G81" s="121"/>
      <c r="H81" s="121">
        <f t="shared" si="2"/>
        <v>75.4533571497402</v>
      </c>
      <c r="I81" s="121">
        <f t="shared" si="2"/>
        <v>150.9067142994804</v>
      </c>
      <c r="J81" s="121"/>
    </row>
    <row r="82" spans="1:10" ht="12.75">
      <c r="A82" s="110"/>
      <c r="B82" s="110" t="s">
        <v>376</v>
      </c>
      <c r="C82" s="124"/>
      <c r="D82" s="121">
        <f t="shared" si="2"/>
        <v>58.96295024653494</v>
      </c>
      <c r="E82" s="121">
        <f t="shared" si="2"/>
        <v>117.92590049306988</v>
      </c>
      <c r="F82" s="121">
        <f t="shared" si="2"/>
        <v>176.89791638386163</v>
      </c>
      <c r="G82" s="121"/>
      <c r="H82" s="121">
        <f t="shared" si="2"/>
        <v>14.51409645521255</v>
      </c>
      <c r="I82" s="121">
        <f t="shared" si="2"/>
        <v>29.01912726616825</v>
      </c>
      <c r="J82" s="121"/>
    </row>
    <row r="83" spans="1:10" ht="12.75">
      <c r="A83" s="110"/>
      <c r="B83" s="110" t="s">
        <v>380</v>
      </c>
      <c r="C83" s="124"/>
      <c r="D83" s="121">
        <f t="shared" si="2"/>
        <v>84.2107695018547</v>
      </c>
      <c r="E83" s="121">
        <f t="shared" si="2"/>
        <v>199.58922395875047</v>
      </c>
      <c r="F83" s="121">
        <f t="shared" si="2"/>
        <v>299.3838359381257</v>
      </c>
      <c r="G83" s="121"/>
      <c r="H83" s="121">
        <f t="shared" si="2"/>
        <v>21.775677504947247</v>
      </c>
      <c r="I83" s="121">
        <f t="shared" si="2"/>
        <v>43.55135500989449</v>
      </c>
      <c r="J83" s="121"/>
    </row>
    <row r="84" spans="1:10" ht="12.75">
      <c r="A84" s="124"/>
      <c r="B84" s="110" t="s">
        <v>547</v>
      </c>
      <c r="C84" s="124"/>
      <c r="D84" s="121">
        <f t="shared" si="2"/>
        <v>23.58880635631671</v>
      </c>
      <c r="E84" s="121"/>
      <c r="F84" s="121"/>
      <c r="G84" s="121"/>
      <c r="H84" s="121"/>
      <c r="I84" s="121"/>
      <c r="J84" s="121"/>
    </row>
    <row r="85" spans="1:10" ht="12.75">
      <c r="A85" s="124"/>
      <c r="B85" s="110" t="s">
        <v>548</v>
      </c>
      <c r="C85" s="110"/>
      <c r="D85" s="121">
        <f t="shared" si="2"/>
        <v>35.31068438042029</v>
      </c>
      <c r="E85" s="121"/>
      <c r="F85" s="121"/>
      <c r="G85" s="121"/>
      <c r="H85" s="121" t="s">
        <v>378</v>
      </c>
      <c r="I85" s="121" t="s">
        <v>378</v>
      </c>
      <c r="J85" s="121"/>
    </row>
    <row r="86" spans="1:10" ht="12.75">
      <c r="A86" s="124"/>
      <c r="B86" s="110" t="s">
        <v>390</v>
      </c>
      <c r="C86" s="110"/>
      <c r="D86" s="121">
        <f t="shared" si="2"/>
        <v>124.90644657084229</v>
      </c>
      <c r="E86" s="121"/>
      <c r="F86" s="121"/>
      <c r="G86" s="121"/>
      <c r="H86" s="121"/>
      <c r="I86" s="121"/>
      <c r="J86" s="121"/>
    </row>
    <row r="87" spans="1:10" ht="12.75">
      <c r="A87" s="110"/>
      <c r="B87" s="110" t="s">
        <v>394</v>
      </c>
      <c r="C87" s="110"/>
      <c r="D87" s="121">
        <f t="shared" si="2"/>
        <v>67.90167548378639</v>
      </c>
      <c r="E87" s="121"/>
      <c r="F87" s="121"/>
      <c r="G87" s="121"/>
      <c r="H87" s="121"/>
      <c r="I87" s="121"/>
      <c r="J87" s="121"/>
    </row>
    <row r="88" spans="1:10" ht="12.75">
      <c r="A88" s="110"/>
      <c r="B88" s="110" t="s">
        <v>396</v>
      </c>
      <c r="C88" s="110"/>
      <c r="D88" s="121">
        <f t="shared" si="2"/>
        <v>21.56716768703976</v>
      </c>
      <c r="E88" s="121"/>
      <c r="F88" s="121"/>
      <c r="G88" s="121"/>
      <c r="H88" s="121"/>
      <c r="I88" s="121"/>
      <c r="J88" s="121"/>
    </row>
    <row r="89" spans="1:10" ht="12.75">
      <c r="A89" s="110"/>
      <c r="B89" s="110" t="s">
        <v>398</v>
      </c>
      <c r="C89" s="110"/>
      <c r="D89" s="121">
        <f t="shared" si="2"/>
        <v>59.180525708699264</v>
      </c>
      <c r="E89" s="121"/>
      <c r="F89" s="121"/>
      <c r="G89" s="121"/>
      <c r="H89" s="121"/>
      <c r="I89" s="121"/>
      <c r="J89" s="121"/>
    </row>
    <row r="90" spans="1:10" ht="12.75">
      <c r="A90" s="110"/>
      <c r="B90" s="110"/>
      <c r="C90" s="110"/>
      <c r="D90" s="121"/>
      <c r="E90" s="121"/>
      <c r="F90" s="121"/>
      <c r="G90" s="121"/>
      <c r="H90" s="121"/>
      <c r="I90" s="121"/>
      <c r="J90" s="121"/>
    </row>
    <row r="91" spans="1:10" ht="12.75">
      <c r="A91" s="110"/>
      <c r="B91" s="110"/>
      <c r="C91" s="110"/>
      <c r="D91" s="121"/>
      <c r="E91" s="121"/>
      <c r="F91" s="121"/>
      <c r="G91" s="121"/>
      <c r="H91" s="121"/>
      <c r="I91" s="121"/>
      <c r="J91" s="121"/>
    </row>
    <row r="92" spans="1:10" ht="12.75" hidden="1">
      <c r="A92" s="110"/>
      <c r="B92" s="227" t="s">
        <v>507</v>
      </c>
      <c r="C92" s="213" t="s">
        <v>508</v>
      </c>
      <c r="D92" s="121"/>
      <c r="E92" s="121"/>
      <c r="F92" s="121"/>
      <c r="G92" s="121"/>
      <c r="H92" s="121"/>
      <c r="I92" s="121"/>
      <c r="J92" s="121"/>
    </row>
    <row r="93" spans="1:10" ht="12.75" hidden="1">
      <c r="A93" s="110"/>
      <c r="B93" s="227"/>
      <c r="C93" s="214" t="s">
        <v>525</v>
      </c>
      <c r="D93" s="121"/>
      <c r="E93" s="121"/>
      <c r="F93" s="121"/>
      <c r="G93" s="121"/>
      <c r="H93" s="121"/>
      <c r="I93" s="121"/>
      <c r="J93" s="121"/>
    </row>
    <row r="94" spans="1:10" ht="12.75" hidden="1">
      <c r="A94" s="110"/>
      <c r="B94" s="227"/>
      <c r="C94" s="215" t="s">
        <v>526</v>
      </c>
      <c r="D94" s="121"/>
      <c r="E94" s="121"/>
      <c r="F94" s="121"/>
      <c r="G94" s="121"/>
      <c r="H94" s="121"/>
      <c r="I94" s="121"/>
      <c r="J94" s="121"/>
    </row>
    <row r="95" spans="1:10" ht="12.75" hidden="1">
      <c r="A95" s="110"/>
      <c r="B95" s="228"/>
      <c r="C95" s="191" t="s">
        <v>529</v>
      </c>
      <c r="D95" s="121"/>
      <c r="E95" s="121"/>
      <c r="F95" s="121"/>
      <c r="G95" s="121"/>
      <c r="H95" s="121"/>
      <c r="I95" s="121"/>
      <c r="J95" s="121"/>
    </row>
    <row r="96" spans="1:10" ht="12.75" hidden="1">
      <c r="A96" s="110"/>
      <c r="B96" s="228"/>
      <c r="C96" s="188" t="s">
        <v>530</v>
      </c>
      <c r="D96" s="121"/>
      <c r="E96" s="121"/>
      <c r="F96" s="121"/>
      <c r="G96" s="121"/>
      <c r="H96" s="121"/>
      <c r="I96" s="121"/>
      <c r="J96" s="121"/>
    </row>
    <row r="97" spans="2:10" ht="12.75">
      <c r="B97" s="110"/>
      <c r="C97" s="110"/>
      <c r="D97" s="121"/>
      <c r="E97" s="121"/>
      <c r="F97" s="121"/>
      <c r="G97" s="121"/>
      <c r="H97" s="121"/>
      <c r="I97" s="121"/>
      <c r="J97" s="121"/>
    </row>
    <row r="98" spans="1:8" ht="12.75">
      <c r="A98" s="110"/>
      <c r="B98" s="110"/>
      <c r="C98" s="110"/>
      <c r="D98" s="110"/>
      <c r="E98" s="110"/>
      <c r="F98" s="109">
        <v>2007</v>
      </c>
      <c r="G98" s="109"/>
      <c r="H98" s="124"/>
    </row>
    <row r="99" spans="1:8" ht="12.75">
      <c r="A99" s="110"/>
      <c r="B99" s="110"/>
      <c r="C99" s="110"/>
      <c r="D99" s="110" t="s">
        <v>325</v>
      </c>
      <c r="E99" s="110"/>
      <c r="F99" s="111">
        <f>+'Method - A'!M51</f>
        <v>-0.09343557431526865</v>
      </c>
      <c r="G99" s="111"/>
      <c r="H99" s="110"/>
    </row>
    <row r="100" spans="1:8" ht="12.75">
      <c r="A100" s="112" t="s">
        <v>327</v>
      </c>
      <c r="B100" s="113"/>
      <c r="C100" s="113"/>
      <c r="D100" s="113" t="s">
        <v>328</v>
      </c>
      <c r="E100" s="113"/>
      <c r="F100" s="111">
        <v>0.06</v>
      </c>
      <c r="G100" s="111"/>
      <c r="H100" s="113"/>
    </row>
    <row r="101" spans="1:8" ht="12.75">
      <c r="A101" s="110"/>
      <c r="B101" s="110"/>
      <c r="C101" s="110"/>
      <c r="D101" s="124" t="s">
        <v>332</v>
      </c>
      <c r="E101" s="124"/>
      <c r="F101" s="111">
        <f>SUM(F99:F100)</f>
        <v>-0.033435574315268654</v>
      </c>
      <c r="G101" s="111"/>
      <c r="H101" s="110"/>
    </row>
    <row r="102" spans="1:12" ht="12.75">
      <c r="A102" s="115" t="s">
        <v>334</v>
      </c>
      <c r="B102" s="110"/>
      <c r="C102" s="110"/>
      <c r="D102" s="110" t="s">
        <v>430</v>
      </c>
      <c r="E102" s="110"/>
      <c r="F102" s="114">
        <f>+F6</f>
        <v>4.333</v>
      </c>
      <c r="G102" s="114"/>
      <c r="H102" s="110"/>
      <c r="K102" s="185"/>
      <c r="L102" s="124"/>
    </row>
    <row r="103" spans="1:12" ht="12.75">
      <c r="A103" s="115"/>
      <c r="B103" s="110"/>
      <c r="C103" s="110"/>
      <c r="D103" s="110"/>
      <c r="E103" s="110"/>
      <c r="F103" s="109">
        <v>2007</v>
      </c>
      <c r="G103" s="109"/>
      <c r="H103" s="109">
        <v>2007</v>
      </c>
      <c r="K103" s="109"/>
      <c r="L103" s="109"/>
    </row>
    <row r="104" spans="1:12" ht="12.75">
      <c r="A104" s="124"/>
      <c r="B104" s="113"/>
      <c r="C104" s="113"/>
      <c r="D104" s="132" t="s">
        <v>542</v>
      </c>
      <c r="E104" s="113"/>
      <c r="F104" s="132" t="s">
        <v>540</v>
      </c>
      <c r="G104" s="116"/>
      <c r="H104" s="132" t="s">
        <v>540</v>
      </c>
      <c r="K104" s="184"/>
      <c r="L104" s="184"/>
    </row>
    <row r="105" spans="1:12" ht="12.75">
      <c r="A105" s="118" t="s">
        <v>337</v>
      </c>
      <c r="B105" s="110"/>
      <c r="C105" s="110"/>
      <c r="D105" s="132" t="s">
        <v>543</v>
      </c>
      <c r="E105" s="116"/>
      <c r="F105" s="132" t="s">
        <v>172</v>
      </c>
      <c r="G105" s="116"/>
      <c r="H105" s="132" t="s">
        <v>541</v>
      </c>
      <c r="K105" s="116"/>
      <c r="L105" s="116"/>
    </row>
    <row r="106" spans="1:8" ht="12.75">
      <c r="A106" s="110" t="s">
        <v>429</v>
      </c>
      <c r="B106" s="110"/>
      <c r="C106" s="110"/>
      <c r="D106" s="121"/>
      <c r="E106" s="110"/>
      <c r="F106" s="110"/>
      <c r="G106" s="110"/>
      <c r="H106" s="121"/>
    </row>
    <row r="107" spans="1:8" ht="12.75">
      <c r="A107" s="110"/>
      <c r="B107" s="110" t="s">
        <v>343</v>
      </c>
      <c r="C107" s="110"/>
      <c r="D107" s="121"/>
      <c r="E107" s="110"/>
      <c r="F107" s="110"/>
      <c r="G107" s="110"/>
      <c r="H107" s="121"/>
    </row>
    <row r="108" spans="1:8" ht="12.75">
      <c r="A108" s="110"/>
      <c r="B108" s="110"/>
      <c r="C108" s="110" t="s">
        <v>422</v>
      </c>
      <c r="D108" s="121">
        <v>20.18</v>
      </c>
      <c r="E108" s="121"/>
      <c r="F108" s="121">
        <f>ROUND(D108*(1+$F$99),2)</f>
        <v>18.29</v>
      </c>
      <c r="G108" s="121"/>
      <c r="H108" s="121">
        <f>ROUND(F108*(1+$F$100),2)</f>
        <v>19.39</v>
      </c>
    </row>
    <row r="109" spans="1:8" ht="12.75">
      <c r="A109" s="110"/>
      <c r="B109" s="110"/>
      <c r="C109" s="110" t="s">
        <v>421</v>
      </c>
      <c r="D109" s="121">
        <v>40.36</v>
      </c>
      <c r="E109" s="121"/>
      <c r="F109" s="121">
        <f aca="true" t="shared" si="3" ref="F109:F118">ROUND(D109*(1+$F$99),2)</f>
        <v>36.59</v>
      </c>
      <c r="G109" s="121"/>
      <c r="H109" s="121">
        <f aca="true" t="shared" si="4" ref="H109:H118">ROUND(F109*(1+$F$100),2)</f>
        <v>38.79</v>
      </c>
    </row>
    <row r="110" spans="1:8" ht="12.75">
      <c r="A110" s="110"/>
      <c r="B110" s="110"/>
      <c r="C110" s="110" t="s">
        <v>423</v>
      </c>
      <c r="D110" s="121">
        <v>60.54</v>
      </c>
      <c r="E110" s="121"/>
      <c r="F110" s="121">
        <f t="shared" si="3"/>
        <v>54.88</v>
      </c>
      <c r="G110" s="121"/>
      <c r="H110" s="121">
        <f t="shared" si="4"/>
        <v>58.17</v>
      </c>
    </row>
    <row r="111" spans="1:8" ht="12.75">
      <c r="A111" s="110"/>
      <c r="B111" s="110"/>
      <c r="C111" s="110" t="s">
        <v>369</v>
      </c>
      <c r="D111" s="121">
        <v>4.66</v>
      </c>
      <c r="E111" s="121"/>
      <c r="F111" s="121">
        <f t="shared" si="3"/>
        <v>4.22</v>
      </c>
      <c r="G111" s="121"/>
      <c r="H111" s="121">
        <f t="shared" si="4"/>
        <v>4.47</v>
      </c>
    </row>
    <row r="112" spans="1:8" ht="12.75">
      <c r="A112" s="110"/>
      <c r="B112" s="110"/>
      <c r="C112" s="110" t="s">
        <v>504</v>
      </c>
      <c r="D112" s="121">
        <v>5.82</v>
      </c>
      <c r="E112" s="121"/>
      <c r="F112" s="121">
        <f t="shared" si="3"/>
        <v>5.28</v>
      </c>
      <c r="G112" s="121"/>
      <c r="H112" s="121">
        <f t="shared" si="4"/>
        <v>5.6</v>
      </c>
    </row>
    <row r="113" spans="1:8" ht="12.75">
      <c r="A113" s="110"/>
      <c r="B113" s="110" t="s">
        <v>372</v>
      </c>
      <c r="C113" s="110"/>
      <c r="D113" s="121"/>
      <c r="E113" s="110"/>
      <c r="F113" s="121"/>
      <c r="G113" s="121"/>
      <c r="H113" s="121"/>
    </row>
    <row r="114" spans="1:8" ht="12.75">
      <c r="A114" s="110"/>
      <c r="B114" s="110"/>
      <c r="C114" s="110" t="s">
        <v>422</v>
      </c>
      <c r="D114" s="121">
        <v>27.27</v>
      </c>
      <c r="E114" s="121"/>
      <c r="F114" s="121">
        <f t="shared" si="3"/>
        <v>24.72</v>
      </c>
      <c r="G114" s="121"/>
      <c r="H114" s="121">
        <f t="shared" si="4"/>
        <v>26.2</v>
      </c>
    </row>
    <row r="115" spans="1:8" ht="12.75">
      <c r="A115" s="110"/>
      <c r="B115" s="110"/>
      <c r="C115" s="110" t="s">
        <v>421</v>
      </c>
      <c r="D115" s="121">
        <v>54.54</v>
      </c>
      <c r="E115" s="121"/>
      <c r="F115" s="121">
        <f t="shared" si="3"/>
        <v>49.44</v>
      </c>
      <c r="G115" s="121"/>
      <c r="H115" s="121">
        <f t="shared" si="4"/>
        <v>52.41</v>
      </c>
    </row>
    <row r="116" spans="1:8" ht="12.75">
      <c r="A116" s="110"/>
      <c r="B116" s="110"/>
      <c r="C116" s="110" t="s">
        <v>423</v>
      </c>
      <c r="D116" s="121">
        <v>81.81</v>
      </c>
      <c r="E116" s="121"/>
      <c r="F116" s="121">
        <f t="shared" si="3"/>
        <v>74.17</v>
      </c>
      <c r="G116" s="121"/>
      <c r="H116" s="121">
        <f t="shared" si="4"/>
        <v>78.62</v>
      </c>
    </row>
    <row r="117" spans="1:8" ht="12.75">
      <c r="A117" s="110"/>
      <c r="B117" s="110"/>
      <c r="C117" s="110" t="s">
        <v>369</v>
      </c>
      <c r="D117" s="121">
        <v>6.29</v>
      </c>
      <c r="E117" s="121"/>
      <c r="F117" s="121">
        <f t="shared" si="3"/>
        <v>5.7</v>
      </c>
      <c r="G117" s="121"/>
      <c r="H117" s="121">
        <f t="shared" si="4"/>
        <v>6.04</v>
      </c>
    </row>
    <row r="118" spans="1:8" ht="12.75">
      <c r="A118" s="110"/>
      <c r="B118" s="110"/>
      <c r="C118" s="110" t="s">
        <v>504</v>
      </c>
      <c r="D118" s="121">
        <v>7.78</v>
      </c>
      <c r="E118" s="121"/>
      <c r="F118" s="121">
        <f t="shared" si="3"/>
        <v>7.05</v>
      </c>
      <c r="G118" s="121"/>
      <c r="H118" s="121">
        <f t="shared" si="4"/>
        <v>7.47</v>
      </c>
    </row>
    <row r="119" spans="1:11" ht="12.75">
      <c r="A119" s="110"/>
      <c r="B119" s="134" t="s">
        <v>464</v>
      </c>
      <c r="C119" s="134"/>
      <c r="D119" s="136"/>
      <c r="E119" s="136"/>
      <c r="F119" s="136"/>
      <c r="G119" s="136"/>
      <c r="H119" s="136"/>
      <c r="K119" s="217"/>
    </row>
    <row r="120" spans="1:12" ht="12.75">
      <c r="A120" s="110"/>
      <c r="B120" s="134"/>
      <c r="C120" s="134" t="s">
        <v>422</v>
      </c>
      <c r="D120" s="136">
        <f>28.91/1.06</f>
        <v>27.273584905660375</v>
      </c>
      <c r="E120" s="136"/>
      <c r="F120" s="136">
        <f>D120*(1+$F$3)</f>
        <v>24.725261836363757</v>
      </c>
      <c r="G120" s="136"/>
      <c r="H120" s="136">
        <f>F120*(1+$F$4)</f>
        <v>26.208777546545583</v>
      </c>
      <c r="K120" s="217"/>
      <c r="L120" s="217"/>
    </row>
    <row r="121" spans="1:12" ht="12.75">
      <c r="A121" s="110"/>
      <c r="B121" s="134"/>
      <c r="C121" s="134" t="s">
        <v>421</v>
      </c>
      <c r="D121" s="136">
        <f>57.82/1.06</f>
        <v>54.54716981132075</v>
      </c>
      <c r="E121" s="136"/>
      <c r="F121" s="136">
        <f>D121*(1+$F$3)</f>
        <v>49.45052367272751</v>
      </c>
      <c r="G121" s="136"/>
      <c r="H121" s="136">
        <f>F121*(1+$F$4)</f>
        <v>52.41755509309117</v>
      </c>
      <c r="K121" s="217"/>
      <c r="L121" s="217"/>
    </row>
    <row r="122" spans="1:12" ht="12.75">
      <c r="A122" s="110"/>
      <c r="B122" s="134"/>
      <c r="C122" s="134" t="s">
        <v>423</v>
      </c>
      <c r="D122" s="136">
        <f>86.73/1.06</f>
        <v>81.82075471698113</v>
      </c>
      <c r="E122" s="136"/>
      <c r="F122" s="136">
        <f>D122*(1+$F$3)</f>
        <v>74.17578550909127</v>
      </c>
      <c r="G122" s="136"/>
      <c r="H122" s="136">
        <f>F122*(1+$F$4)</f>
        <v>78.62633263963674</v>
      </c>
      <c r="K122" s="217"/>
      <c r="L122" s="217"/>
    </row>
    <row r="123" spans="1:11" ht="12.75">
      <c r="A123" s="110"/>
      <c r="B123" s="134" t="s">
        <v>544</v>
      </c>
      <c r="C123" s="134"/>
      <c r="D123" s="136"/>
      <c r="E123" s="136"/>
      <c r="F123" s="136"/>
      <c r="G123" s="136"/>
      <c r="H123" s="136"/>
      <c r="K123" s="217"/>
    </row>
    <row r="124" spans="1:11" ht="12.75">
      <c r="A124" s="110"/>
      <c r="B124" s="218" t="s">
        <v>545</v>
      </c>
      <c r="C124" s="195"/>
      <c r="D124" s="136"/>
      <c r="E124" s="136"/>
      <c r="F124" s="136"/>
      <c r="G124" s="136"/>
      <c r="H124" s="136"/>
      <c r="K124" s="217"/>
    </row>
    <row r="125" spans="1:12" ht="12.75">
      <c r="A125" s="110"/>
      <c r="B125" s="134" t="s">
        <v>546</v>
      </c>
      <c r="C125" s="195"/>
      <c r="D125" s="136">
        <f>62.4/1.06</f>
        <v>58.867924528301884</v>
      </c>
      <c r="E125" s="136"/>
      <c r="F125" s="136">
        <f>D125*(1+$F$3)</f>
        <v>53.36756619125211</v>
      </c>
      <c r="G125" s="136"/>
      <c r="H125" s="136">
        <f>F125*(1+$F$4)</f>
        <v>56.56962016272724</v>
      </c>
      <c r="K125" s="217"/>
      <c r="L125" s="217"/>
    </row>
    <row r="126" spans="1:12" ht="12.75" hidden="1">
      <c r="A126" s="110"/>
      <c r="B126" s="227" t="s">
        <v>507</v>
      </c>
      <c r="C126" s="134" t="s">
        <v>422</v>
      </c>
      <c r="D126" s="136">
        <f>83.79/1.06</f>
        <v>79.04716981132076</v>
      </c>
      <c r="E126" s="136"/>
      <c r="F126" s="136">
        <f>D126*(1+$F$3)</f>
        <v>71.66135210200343</v>
      </c>
      <c r="G126" s="136"/>
      <c r="H126" s="136">
        <f>F126*(1+$F$4)</f>
        <v>75.96103322812364</v>
      </c>
      <c r="K126" s="217"/>
      <c r="L126" s="217"/>
    </row>
    <row r="127" spans="1:12" ht="12.75" hidden="1">
      <c r="A127" s="110"/>
      <c r="B127" s="227"/>
      <c r="C127" s="134" t="s">
        <v>421</v>
      </c>
      <c r="D127" s="136">
        <f>105.18/1.06</f>
        <v>99.22641509433963</v>
      </c>
      <c r="E127" s="136"/>
      <c r="F127" s="136">
        <f>D127*(1+$F$3)</f>
        <v>89.95513801275477</v>
      </c>
      <c r="G127" s="136"/>
      <c r="H127" s="136">
        <f>F127*(1+$F$4)</f>
        <v>95.35244629352006</v>
      </c>
      <c r="K127" s="217"/>
      <c r="L127" s="217"/>
    </row>
    <row r="128" spans="1:12" ht="12.75" hidden="1">
      <c r="A128" s="110"/>
      <c r="B128" s="227"/>
      <c r="C128" s="134" t="s">
        <v>423</v>
      </c>
      <c r="D128" s="136">
        <f>126.57/1.06</f>
        <v>119.40566037735847</v>
      </c>
      <c r="E128" s="136"/>
      <c r="F128" s="136">
        <f>D128*(1+$F$3)</f>
        <v>108.24892392350607</v>
      </c>
      <c r="G128" s="136"/>
      <c r="H128" s="136">
        <f>F128*(1+$F$4)</f>
        <v>114.74385935891644</v>
      </c>
      <c r="K128" s="217"/>
      <c r="L128" s="217"/>
    </row>
    <row r="129" spans="1:8" ht="12.75">
      <c r="A129" s="110"/>
      <c r="B129" s="110"/>
      <c r="C129" s="110"/>
      <c r="D129" s="121"/>
      <c r="E129" s="121"/>
      <c r="F129" s="121"/>
      <c r="G129" s="121"/>
      <c r="H129" s="121"/>
    </row>
    <row r="130" spans="1:8" ht="12.75">
      <c r="A130" s="110" t="s">
        <v>420</v>
      </c>
      <c r="B130" s="110"/>
      <c r="C130" s="110"/>
      <c r="D130" s="121"/>
      <c r="E130" s="121"/>
      <c r="F130" s="121"/>
      <c r="G130" s="121"/>
      <c r="H130" s="121"/>
    </row>
    <row r="131" spans="1:8" ht="12.75">
      <c r="A131" s="110"/>
      <c r="B131" s="110"/>
      <c r="C131" s="110"/>
      <c r="D131" s="121"/>
      <c r="E131" s="121"/>
      <c r="F131" s="121"/>
      <c r="G131" s="121"/>
      <c r="H131" s="121"/>
    </row>
    <row r="132" spans="1:11" ht="12.75">
      <c r="A132" s="134"/>
      <c r="B132" s="110" t="s">
        <v>427</v>
      </c>
      <c r="C132" s="110" t="s">
        <v>428</v>
      </c>
      <c r="D132" s="110"/>
      <c r="E132" s="110"/>
      <c r="F132" s="109">
        <v>2007</v>
      </c>
      <c r="G132" s="109"/>
      <c r="H132" s="124"/>
      <c r="I132" s="109"/>
      <c r="J132" s="109"/>
      <c r="K132" s="110"/>
    </row>
    <row r="133" spans="1:11" ht="12.75">
      <c r="A133" s="110"/>
      <c r="B133" s="110"/>
      <c r="C133" s="110"/>
      <c r="D133" s="110" t="s">
        <v>325</v>
      </c>
      <c r="E133" s="110"/>
      <c r="F133" s="111">
        <f>+'Method - A'!M51</f>
        <v>-0.09343557431526865</v>
      </c>
      <c r="G133" s="111"/>
      <c r="H133" s="110"/>
      <c r="I133" s="111"/>
      <c r="J133" s="111"/>
      <c r="K133" s="113"/>
    </row>
    <row r="134" spans="1:11" ht="12.75">
      <c r="A134" s="112" t="s">
        <v>327</v>
      </c>
      <c r="B134" s="113"/>
      <c r="C134" s="113"/>
      <c r="D134" s="113" t="s">
        <v>328</v>
      </c>
      <c r="E134" s="113"/>
      <c r="F134" s="111">
        <v>0.06</v>
      </c>
      <c r="G134" s="111"/>
      <c r="H134" s="113"/>
      <c r="I134" s="111"/>
      <c r="J134" s="111"/>
      <c r="K134" s="110"/>
    </row>
    <row r="135" spans="2:11" ht="12.75">
      <c r="B135" s="110"/>
      <c r="C135" s="110"/>
      <c r="D135" s="124" t="s">
        <v>332</v>
      </c>
      <c r="E135" s="124"/>
      <c r="F135" s="111">
        <f>SUM(F133:F134)</f>
        <v>-0.033435574315268654</v>
      </c>
      <c r="G135" s="111"/>
      <c r="H135" s="111"/>
      <c r="I135" s="111"/>
      <c r="J135" s="111"/>
      <c r="K135" s="110"/>
    </row>
    <row r="136" spans="1:11" ht="12.75">
      <c r="A136" s="115" t="s">
        <v>336</v>
      </c>
      <c r="B136" s="110"/>
      <c r="C136" s="110"/>
      <c r="D136" s="110" t="s">
        <v>430</v>
      </c>
      <c r="E136" s="110"/>
      <c r="F136" s="114">
        <f>+F102</f>
        <v>4.333</v>
      </c>
      <c r="G136" s="114"/>
      <c r="H136" s="110"/>
      <c r="I136" s="110"/>
      <c r="J136" s="110"/>
      <c r="K136" s="110"/>
    </row>
    <row r="137" spans="2:11" ht="5.25" customHeight="1">
      <c r="B137" s="113"/>
      <c r="C137" s="113"/>
      <c r="D137" s="113"/>
      <c r="E137" s="113"/>
      <c r="F137" s="116"/>
      <c r="G137" s="116"/>
      <c r="H137" s="116"/>
      <c r="I137" s="116"/>
      <c r="J137" s="116"/>
      <c r="K137" s="110"/>
    </row>
    <row r="138" spans="1:11" ht="12.75">
      <c r="A138" s="118" t="s">
        <v>337</v>
      </c>
      <c r="B138" s="110"/>
      <c r="C138" s="110"/>
      <c r="D138" s="119" t="str">
        <f>"----------Current Monthly Rate----------"</f>
        <v>----------Current Monthly Rate----------</v>
      </c>
      <c r="E138" s="120"/>
      <c r="F138" s="120"/>
      <c r="G138" s="120"/>
      <c r="H138" s="120"/>
      <c r="I138" s="120"/>
      <c r="J138" s="120"/>
      <c r="K138" s="110"/>
    </row>
    <row r="139" spans="1:11" ht="12.75">
      <c r="A139" s="110" t="s">
        <v>338</v>
      </c>
      <c r="B139" s="110"/>
      <c r="C139" s="110"/>
      <c r="D139" s="122"/>
      <c r="E139" s="116"/>
      <c r="F139" s="116"/>
      <c r="G139" s="116"/>
      <c r="H139" s="116" t="s">
        <v>339</v>
      </c>
      <c r="I139" s="116" t="s">
        <v>339</v>
      </c>
      <c r="J139" s="116"/>
      <c r="K139" s="110"/>
    </row>
    <row r="140" spans="1:11" ht="12.75">
      <c r="A140" s="110" t="s">
        <v>352</v>
      </c>
      <c r="B140" s="110"/>
      <c r="C140" s="110"/>
      <c r="D140" s="122" t="s">
        <v>344</v>
      </c>
      <c r="E140" s="122" t="s">
        <v>345</v>
      </c>
      <c r="F140" s="122" t="s">
        <v>346</v>
      </c>
      <c r="G140" s="122"/>
      <c r="H140" s="122" t="s">
        <v>347</v>
      </c>
      <c r="I140" s="122" t="s">
        <v>348</v>
      </c>
      <c r="J140" s="122"/>
      <c r="K140" s="110"/>
    </row>
    <row r="141" spans="1:11" ht="12.75">
      <c r="A141" s="110"/>
      <c r="B141" s="126">
        <v>1</v>
      </c>
      <c r="C141" s="124"/>
      <c r="D141" s="121">
        <v>271.33</v>
      </c>
      <c r="E141" s="121">
        <v>502.59</v>
      </c>
      <c r="F141" s="121">
        <v>733.84</v>
      </c>
      <c r="G141" s="121"/>
      <c r="H141" s="121">
        <v>56.9</v>
      </c>
      <c r="I141" s="121">
        <v>113.8</v>
      </c>
      <c r="J141" s="121"/>
      <c r="K141" s="110"/>
    </row>
    <row r="142" spans="1:11" ht="12.75">
      <c r="A142" s="110"/>
      <c r="B142" s="126">
        <v>2</v>
      </c>
      <c r="C142" s="124"/>
      <c r="D142" s="121">
        <v>502.59</v>
      </c>
      <c r="E142" s="121">
        <v>965.1</v>
      </c>
      <c r="F142" s="121">
        <v>1427.61</v>
      </c>
      <c r="G142" s="121"/>
      <c r="H142" s="121">
        <v>113.8</v>
      </c>
      <c r="I142" s="121">
        <v>227.61</v>
      </c>
      <c r="J142" s="121"/>
      <c r="K142" s="110"/>
    </row>
    <row r="143" spans="1:11" ht="12.75">
      <c r="A143" s="110"/>
      <c r="B143" s="126">
        <v>3</v>
      </c>
      <c r="C143" s="124"/>
      <c r="D143" s="121">
        <v>733.84</v>
      </c>
      <c r="E143" s="121">
        <v>1427.61</v>
      </c>
      <c r="F143" s="121">
        <v>2121.37</v>
      </c>
      <c r="G143" s="121"/>
      <c r="H143" s="121">
        <v>170.71</v>
      </c>
      <c r="I143" s="121">
        <v>341.41</v>
      </c>
      <c r="J143" s="121"/>
      <c r="K143" s="110"/>
    </row>
    <row r="144" spans="1:11" ht="12.75">
      <c r="A144" s="110"/>
      <c r="B144" s="126">
        <v>4</v>
      </c>
      <c r="C144" s="124"/>
      <c r="D144" s="121">
        <v>965.1</v>
      </c>
      <c r="E144" s="121">
        <v>1890.11</v>
      </c>
      <c r="F144" s="121">
        <v>2815.13</v>
      </c>
      <c r="G144" s="121"/>
      <c r="H144" s="121">
        <v>227.61</v>
      </c>
      <c r="I144" s="121">
        <v>455.22</v>
      </c>
      <c r="J144" s="121"/>
      <c r="K144" s="110"/>
    </row>
    <row r="145" spans="1:11" ht="12.75">
      <c r="A145" s="110"/>
      <c r="B145" s="126">
        <v>5</v>
      </c>
      <c r="C145" s="124"/>
      <c r="D145" s="121">
        <v>1196.35</v>
      </c>
      <c r="E145" s="121">
        <v>2352.62</v>
      </c>
      <c r="F145" s="121">
        <v>3508.9</v>
      </c>
      <c r="G145" s="121"/>
      <c r="H145" s="121">
        <v>284.51</v>
      </c>
      <c r="I145" s="121">
        <v>569.02</v>
      </c>
      <c r="J145" s="121"/>
      <c r="K145" s="110"/>
    </row>
    <row r="146" spans="1:11" ht="12.75">
      <c r="A146" s="110"/>
      <c r="B146" s="110" t="s">
        <v>363</v>
      </c>
      <c r="C146" s="124"/>
      <c r="D146" s="121">
        <v>352.69</v>
      </c>
      <c r="E146" s="121">
        <v>705.39</v>
      </c>
      <c r="F146" s="121">
        <v>1058.08</v>
      </c>
      <c r="G146" s="121"/>
      <c r="H146" s="121">
        <v>85.39</v>
      </c>
      <c r="I146" s="121">
        <v>170.79</v>
      </c>
      <c r="J146" s="121"/>
      <c r="K146" s="110"/>
    </row>
    <row r="147" spans="1:11" ht="12.75">
      <c r="A147" s="110"/>
      <c r="B147" s="110" t="s">
        <v>376</v>
      </c>
      <c r="C147" s="124"/>
      <c r="D147" s="121">
        <v>60.1</v>
      </c>
      <c r="E147" s="121">
        <v>120.21</v>
      </c>
      <c r="F147" s="121">
        <v>180.3</v>
      </c>
      <c r="G147" s="121"/>
      <c r="H147" s="121">
        <v>16.43</v>
      </c>
      <c r="I147" s="121">
        <v>32.86</v>
      </c>
      <c r="J147" s="121"/>
      <c r="K147" s="110"/>
    </row>
    <row r="148" spans="1:11" ht="12.75">
      <c r="A148" s="110"/>
      <c r="B148" s="110" t="s">
        <v>380</v>
      </c>
      <c r="C148" s="124"/>
      <c r="D148" s="121">
        <v>101.74</v>
      </c>
      <c r="E148" s="121">
        <v>203.51</v>
      </c>
      <c r="F148" s="121">
        <v>305.25</v>
      </c>
      <c r="G148" s="121"/>
      <c r="H148" s="121">
        <v>24.64</v>
      </c>
      <c r="I148" s="121">
        <v>49.29</v>
      </c>
      <c r="J148" s="121"/>
      <c r="K148" s="110"/>
    </row>
    <row r="149" spans="1:11" ht="12.75">
      <c r="A149" s="110"/>
      <c r="B149" s="110" t="s">
        <v>547</v>
      </c>
      <c r="C149" s="124"/>
      <c r="D149" s="121">
        <v>26.7</v>
      </c>
      <c r="E149" s="121"/>
      <c r="F149" s="121"/>
      <c r="G149" s="121"/>
      <c r="H149" s="121"/>
      <c r="I149" s="121"/>
      <c r="J149" s="121"/>
      <c r="K149" s="110"/>
    </row>
    <row r="150" spans="1:11" ht="12.75">
      <c r="A150" s="110"/>
      <c r="B150" s="110" t="s">
        <v>548</v>
      </c>
      <c r="C150" s="110"/>
      <c r="D150" s="121">
        <v>40.08</v>
      </c>
      <c r="E150" s="121"/>
      <c r="F150" s="121"/>
      <c r="G150" s="121"/>
      <c r="H150" s="121"/>
      <c r="I150" s="121"/>
      <c r="J150" s="121"/>
      <c r="K150" s="110"/>
    </row>
    <row r="151" spans="1:11" ht="12.75">
      <c r="A151" s="110"/>
      <c r="B151" s="110" t="s">
        <v>390</v>
      </c>
      <c r="C151" s="110"/>
      <c r="D151" s="121">
        <v>141.37</v>
      </c>
      <c r="E151" s="121"/>
      <c r="F151" s="121"/>
      <c r="G151" s="121"/>
      <c r="H151" s="121"/>
      <c r="I151" s="121"/>
      <c r="J151" s="121"/>
      <c r="K151" s="110"/>
    </row>
    <row r="152" spans="1:11" ht="12.75">
      <c r="A152" s="110"/>
      <c r="B152" s="110" t="s">
        <v>394</v>
      </c>
      <c r="C152" s="110"/>
      <c r="D152" s="121">
        <v>85.3</v>
      </c>
      <c r="E152" s="121"/>
      <c r="F152" s="121"/>
      <c r="G152" s="121"/>
      <c r="H152" s="121"/>
      <c r="I152" s="121"/>
      <c r="J152" s="121"/>
      <c r="K152" s="110"/>
    </row>
    <row r="153" spans="1:11" ht="12.75">
      <c r="A153" s="110"/>
      <c r="B153" s="110" t="s">
        <v>396</v>
      </c>
      <c r="C153" s="110"/>
      <c r="D153" s="121">
        <v>23.79</v>
      </c>
      <c r="E153" s="121"/>
      <c r="F153" s="121"/>
      <c r="G153" s="121"/>
      <c r="H153" s="121"/>
      <c r="I153" s="121"/>
      <c r="J153" s="121"/>
      <c r="K153" s="110"/>
    </row>
    <row r="154" spans="1:11" ht="12.75">
      <c r="A154" s="110"/>
      <c r="B154" s="110" t="s">
        <v>398</v>
      </c>
      <c r="C154" s="110"/>
      <c r="D154" s="121">
        <v>65.28</v>
      </c>
      <c r="E154" s="121"/>
      <c r="F154" s="121"/>
      <c r="G154" s="121"/>
      <c r="H154" s="121"/>
      <c r="I154" s="121"/>
      <c r="J154" s="121"/>
      <c r="K154" s="110"/>
    </row>
    <row r="155" spans="1:11" ht="12.75">
      <c r="A155" s="110"/>
      <c r="B155" s="110" t="s">
        <v>399</v>
      </c>
      <c r="C155" s="110"/>
      <c r="D155" s="121">
        <v>142.31</v>
      </c>
      <c r="E155" s="121"/>
      <c r="F155" s="121"/>
      <c r="G155" s="121"/>
      <c r="H155" s="121"/>
      <c r="I155" s="121"/>
      <c r="J155" s="121"/>
      <c r="K155" s="110"/>
    </row>
    <row r="156" spans="1:11" ht="13.5" customHeight="1">
      <c r="A156" s="110"/>
      <c r="B156" s="110" t="s">
        <v>400</v>
      </c>
      <c r="C156" s="110"/>
      <c r="D156" s="121">
        <v>161.83</v>
      </c>
      <c r="E156" s="121"/>
      <c r="F156" s="121"/>
      <c r="G156" s="121"/>
      <c r="H156" s="121"/>
      <c r="I156" s="124"/>
      <c r="J156" s="124"/>
      <c r="K156" s="110"/>
    </row>
    <row r="157" spans="1:10" ht="15" customHeight="1">
      <c r="A157" s="110"/>
      <c r="B157" s="110"/>
      <c r="C157" s="110"/>
      <c r="D157" s="121"/>
      <c r="E157" s="121"/>
      <c r="F157" s="121"/>
      <c r="G157" s="121"/>
      <c r="H157" s="121"/>
      <c r="I157" s="139" t="s">
        <v>433</v>
      </c>
      <c r="J157" s="139" t="s">
        <v>433</v>
      </c>
    </row>
    <row r="158" spans="1:12" ht="15">
      <c r="A158" s="110" t="s">
        <v>391</v>
      </c>
      <c r="B158" s="110"/>
      <c r="C158" s="110"/>
      <c r="D158" s="138" t="s">
        <v>405</v>
      </c>
      <c r="E158" s="139" t="s">
        <v>406</v>
      </c>
      <c r="F158" s="139" t="s">
        <v>360</v>
      </c>
      <c r="G158" s="139"/>
      <c r="H158" s="139" t="s">
        <v>393</v>
      </c>
      <c r="I158" s="139" t="s">
        <v>549</v>
      </c>
      <c r="J158" s="139" t="s">
        <v>550</v>
      </c>
      <c r="L158" s="126"/>
    </row>
    <row r="159" spans="1:12" ht="12.75">
      <c r="A159" s="110"/>
      <c r="B159" s="110" t="s">
        <v>431</v>
      </c>
      <c r="C159" s="110"/>
      <c r="D159" s="121">
        <v>519.7</v>
      </c>
      <c r="E159" s="121">
        <v>122.01</v>
      </c>
      <c r="F159" s="121">
        <v>198.89</v>
      </c>
      <c r="G159" s="121"/>
      <c r="H159" s="121">
        <v>144.65</v>
      </c>
      <c r="I159" s="121">
        <v>48.57</v>
      </c>
      <c r="J159" s="121">
        <v>11.15</v>
      </c>
      <c r="L159" s="126"/>
    </row>
    <row r="160" spans="1:12" ht="12.75">
      <c r="A160" s="110"/>
      <c r="B160" s="134" t="s">
        <v>434</v>
      </c>
      <c r="C160" s="134"/>
      <c r="D160" s="136">
        <v>801</v>
      </c>
      <c r="E160" s="136">
        <v>122.01</v>
      </c>
      <c r="F160" s="136">
        <v>198.89</v>
      </c>
      <c r="G160" s="136"/>
      <c r="H160" s="136">
        <v>144.65</v>
      </c>
      <c r="I160" s="136">
        <v>48.57</v>
      </c>
      <c r="J160" s="136">
        <v>11.15</v>
      </c>
      <c r="L160" s="169"/>
    </row>
    <row r="161" spans="1:10" ht="12.75">
      <c r="A161" s="110"/>
      <c r="B161" s="110" t="s">
        <v>432</v>
      </c>
      <c r="C161" s="110"/>
      <c r="D161" s="121">
        <v>974.05</v>
      </c>
      <c r="E161" s="121">
        <v>122.01</v>
      </c>
      <c r="F161" s="121">
        <v>198.89</v>
      </c>
      <c r="G161" s="121"/>
      <c r="H161" s="121">
        <v>144.65</v>
      </c>
      <c r="I161" s="121">
        <v>48.57</v>
      </c>
      <c r="J161" s="121">
        <v>11.15</v>
      </c>
    </row>
    <row r="162" spans="1:11" ht="6.75" customHeight="1">
      <c r="A162" s="110"/>
      <c r="B162" s="110"/>
      <c r="C162" s="110"/>
      <c r="D162" s="121"/>
      <c r="E162" s="121"/>
      <c r="F162" s="121"/>
      <c r="G162" s="121"/>
      <c r="H162" s="121"/>
      <c r="I162" s="121"/>
      <c r="J162" s="121"/>
      <c r="K162" s="110"/>
    </row>
    <row r="163" spans="1:11" ht="12.75">
      <c r="A163" s="118"/>
      <c r="B163" s="110"/>
      <c r="C163" s="110"/>
      <c r="D163" s="119" t="str">
        <f>"---------- 2007 New Monthly Rate----------"</f>
        <v>---------- 2007 New Monthly Rate----------</v>
      </c>
      <c r="E163" s="120"/>
      <c r="F163" s="120"/>
      <c r="G163" s="120"/>
      <c r="H163" s="120"/>
      <c r="I163" s="120"/>
      <c r="J163" s="120"/>
      <c r="K163" s="110"/>
    </row>
    <row r="164" spans="1:11" ht="12.75">
      <c r="A164" s="110"/>
      <c r="B164" s="110"/>
      <c r="C164" s="110"/>
      <c r="D164" s="122"/>
      <c r="E164" s="116"/>
      <c r="F164" s="116"/>
      <c r="G164" s="116"/>
      <c r="H164" s="116" t="s">
        <v>339</v>
      </c>
      <c r="I164" s="116" t="s">
        <v>339</v>
      </c>
      <c r="J164" s="116"/>
      <c r="K164" s="110"/>
    </row>
    <row r="165" spans="1:11" ht="12.75">
      <c r="A165" s="110" t="s">
        <v>352</v>
      </c>
      <c r="B165" s="110"/>
      <c r="C165" s="110"/>
      <c r="D165" s="122" t="s">
        <v>344</v>
      </c>
      <c r="E165" s="122" t="s">
        <v>345</v>
      </c>
      <c r="F165" s="122" t="s">
        <v>346</v>
      </c>
      <c r="G165" s="122"/>
      <c r="H165" s="122" t="s">
        <v>347</v>
      </c>
      <c r="I165" s="122" t="s">
        <v>348</v>
      </c>
      <c r="J165" s="122"/>
      <c r="K165" s="110"/>
    </row>
    <row r="166" spans="1:11" ht="12.75">
      <c r="A166" s="110"/>
      <c r="B166" s="126">
        <v>1</v>
      </c>
      <c r="C166" s="124"/>
      <c r="D166" s="121">
        <f aca="true" t="shared" si="5" ref="D166:F173">+D141*(1+$F$133)</f>
        <v>245.97812562103815</v>
      </c>
      <c r="E166" s="121">
        <f t="shared" si="5"/>
        <v>455.6302147048891</v>
      </c>
      <c r="F166" s="121">
        <f t="shared" si="5"/>
        <v>665.2732381444833</v>
      </c>
      <c r="G166" s="121"/>
      <c r="H166" s="121">
        <f aca="true" t="shared" si="6" ref="H166:I173">+H141*(1+$F$133)</f>
        <v>51.58351582146121</v>
      </c>
      <c r="I166" s="121">
        <f t="shared" si="6"/>
        <v>103.16703164292242</v>
      </c>
      <c r="J166" s="121"/>
      <c r="K166" s="110"/>
    </row>
    <row r="167" spans="1:11" ht="12.75">
      <c r="A167" s="110"/>
      <c r="B167" s="126">
        <v>2</v>
      </c>
      <c r="C167" s="124"/>
      <c r="D167" s="121">
        <f t="shared" si="5"/>
        <v>455.6302147048891</v>
      </c>
      <c r="E167" s="121">
        <f t="shared" si="5"/>
        <v>874.9253272283343</v>
      </c>
      <c r="F167" s="121">
        <f t="shared" si="5"/>
        <v>1294.2204397517794</v>
      </c>
      <c r="G167" s="121"/>
      <c r="H167" s="121">
        <f t="shared" si="6"/>
        <v>103.16703164292242</v>
      </c>
      <c r="I167" s="121">
        <f t="shared" si="6"/>
        <v>206.34312893010173</v>
      </c>
      <c r="J167" s="121"/>
      <c r="K167" s="110"/>
    </row>
    <row r="168" spans="1:11" ht="12.75">
      <c r="A168" s="110"/>
      <c r="B168" s="126">
        <v>3</v>
      </c>
      <c r="C168" s="124"/>
      <c r="D168" s="121">
        <f t="shared" si="5"/>
        <v>665.2732381444833</v>
      </c>
      <c r="E168" s="121">
        <f t="shared" si="5"/>
        <v>1294.2204397517794</v>
      </c>
      <c r="F168" s="121">
        <f t="shared" si="5"/>
        <v>1923.1585757148184</v>
      </c>
      <c r="G168" s="121"/>
      <c r="H168" s="121">
        <f t="shared" si="6"/>
        <v>154.7596131086405</v>
      </c>
      <c r="I168" s="121">
        <f t="shared" si="6"/>
        <v>309.51016057302417</v>
      </c>
      <c r="J168" s="121"/>
      <c r="K168" s="110"/>
    </row>
    <row r="169" spans="1:11" ht="12.75">
      <c r="A169" s="110"/>
      <c r="B169" s="126">
        <v>4</v>
      </c>
      <c r="C169" s="124"/>
      <c r="D169" s="121">
        <f t="shared" si="5"/>
        <v>874.9253272283343</v>
      </c>
      <c r="E169" s="121">
        <f t="shared" si="5"/>
        <v>1713.5064866309676</v>
      </c>
      <c r="F169" s="121">
        <f t="shared" si="5"/>
        <v>2552.096711677858</v>
      </c>
      <c r="G169" s="121"/>
      <c r="H169" s="121">
        <f t="shared" si="6"/>
        <v>206.34312893010173</v>
      </c>
      <c r="I169" s="121">
        <f t="shared" si="6"/>
        <v>412.68625786020345</v>
      </c>
      <c r="J169" s="121"/>
      <c r="K169" s="110"/>
    </row>
    <row r="170" spans="1:11" ht="12.75">
      <c r="A170" s="110"/>
      <c r="B170" s="126">
        <v>5</v>
      </c>
      <c r="C170" s="124"/>
      <c r="D170" s="121">
        <f t="shared" si="5"/>
        <v>1084.5683506679284</v>
      </c>
      <c r="E170" s="121">
        <f t="shared" si="5"/>
        <v>2132.8015991544125</v>
      </c>
      <c r="F170" s="121">
        <f t="shared" si="5"/>
        <v>3181.043913285154</v>
      </c>
      <c r="G170" s="121"/>
      <c r="H170" s="121">
        <f t="shared" si="6"/>
        <v>257.92664475156295</v>
      </c>
      <c r="I170" s="121">
        <f t="shared" si="6"/>
        <v>515.8532895031259</v>
      </c>
      <c r="J170" s="121"/>
      <c r="K170" s="110"/>
    </row>
    <row r="171" spans="1:11" ht="12.75">
      <c r="A171" s="110"/>
      <c r="B171" s="110" t="s">
        <v>363</v>
      </c>
      <c r="C171" s="124"/>
      <c r="D171" s="121">
        <f t="shared" si="5"/>
        <v>319.7362072947479</v>
      </c>
      <c r="E171" s="121">
        <f t="shared" si="5"/>
        <v>639.4814802337527</v>
      </c>
      <c r="F171" s="121">
        <f t="shared" si="5"/>
        <v>959.2176875285005</v>
      </c>
      <c r="G171" s="121"/>
      <c r="H171" s="121">
        <f t="shared" si="6"/>
        <v>77.41153630921922</v>
      </c>
      <c r="I171" s="121">
        <f t="shared" si="6"/>
        <v>154.83213826269525</v>
      </c>
      <c r="J171" s="121"/>
      <c r="K171" s="110"/>
    </row>
    <row r="172" spans="1:11" ht="12.75">
      <c r="A172" s="110"/>
      <c r="B172" s="110" t="s">
        <v>376</v>
      </c>
      <c r="C172" s="124"/>
      <c r="D172" s="121">
        <f t="shared" si="5"/>
        <v>54.48452198365236</v>
      </c>
      <c r="E172" s="121">
        <f t="shared" si="5"/>
        <v>108.97810961156155</v>
      </c>
      <c r="F172" s="121">
        <f t="shared" si="5"/>
        <v>163.45356595095708</v>
      </c>
      <c r="G172" s="121"/>
      <c r="H172" s="121">
        <f t="shared" si="6"/>
        <v>14.894853514000136</v>
      </c>
      <c r="I172" s="121">
        <f t="shared" si="6"/>
        <v>29.789707028000272</v>
      </c>
      <c r="J172" s="121"/>
      <c r="K172" s="110"/>
    </row>
    <row r="173" spans="1:11" ht="12.75">
      <c r="A173" s="110"/>
      <c r="B173" s="110" t="s">
        <v>380</v>
      </c>
      <c r="C173" s="124"/>
      <c r="D173" s="121">
        <f t="shared" si="5"/>
        <v>92.23386466916456</v>
      </c>
      <c r="E173" s="121">
        <f t="shared" si="5"/>
        <v>184.49492627109967</v>
      </c>
      <c r="F173" s="121">
        <f t="shared" si="5"/>
        <v>276.7287909402643</v>
      </c>
      <c r="G173" s="121"/>
      <c r="H173" s="121">
        <f t="shared" si="6"/>
        <v>22.33774744887178</v>
      </c>
      <c r="I173" s="121">
        <f t="shared" si="6"/>
        <v>44.68456054200041</v>
      </c>
      <c r="J173" s="121"/>
      <c r="K173" s="110"/>
    </row>
    <row r="174" spans="1:11" ht="12.75">
      <c r="A174" s="110"/>
      <c r="B174" s="110" t="s">
        <v>547</v>
      </c>
      <c r="C174" s="124"/>
      <c r="D174" s="121">
        <f aca="true" t="shared" si="7" ref="D174:D181">+D149*(1+$F$133)</f>
        <v>24.205270165782327</v>
      </c>
      <c r="E174" s="121"/>
      <c r="F174" s="121"/>
      <c r="G174" s="121"/>
      <c r="H174" s="121"/>
      <c r="I174" s="121"/>
      <c r="J174" s="121"/>
      <c r="K174" s="110"/>
    </row>
    <row r="175" spans="1:11" ht="12.75">
      <c r="A175" s="110"/>
      <c r="B175" s="110" t="s">
        <v>548</v>
      </c>
      <c r="C175" s="110"/>
      <c r="D175" s="121">
        <f t="shared" si="7"/>
        <v>36.335102181444036</v>
      </c>
      <c r="E175" s="121"/>
      <c r="F175" s="121"/>
      <c r="G175" s="121"/>
      <c r="H175" s="121"/>
      <c r="I175" s="121"/>
      <c r="J175" s="121"/>
      <c r="K175" s="110"/>
    </row>
    <row r="176" spans="1:11" ht="12.75">
      <c r="A176" s="110"/>
      <c r="B176" s="110" t="s">
        <v>390</v>
      </c>
      <c r="C176" s="110"/>
      <c r="D176" s="121">
        <f t="shared" si="7"/>
        <v>128.1610128590505</v>
      </c>
      <c r="E176" s="121"/>
      <c r="F176" s="121"/>
      <c r="G176" s="121"/>
      <c r="H176" s="121"/>
      <c r="I176" s="121"/>
      <c r="J176" s="121"/>
      <c r="K176" s="110"/>
    </row>
    <row r="177" spans="1:11" ht="12.75">
      <c r="A177" s="110"/>
      <c r="B177" s="110" t="s">
        <v>394</v>
      </c>
      <c r="C177" s="110"/>
      <c r="D177" s="121">
        <f t="shared" si="7"/>
        <v>77.32994551090758</v>
      </c>
      <c r="E177" s="121"/>
      <c r="F177" s="121"/>
      <c r="G177" s="121"/>
      <c r="H177" s="121"/>
      <c r="I177" s="121"/>
      <c r="J177" s="121"/>
      <c r="K177" s="110"/>
    </row>
    <row r="178" spans="1:11" ht="12.75">
      <c r="A178" s="110"/>
      <c r="B178" s="110" t="s">
        <v>396</v>
      </c>
      <c r="C178" s="110"/>
      <c r="D178" s="121">
        <f t="shared" si="7"/>
        <v>21.56716768703976</v>
      </c>
      <c r="E178" s="121"/>
      <c r="F178" s="121"/>
      <c r="G178" s="121"/>
      <c r="H178" s="121"/>
      <c r="I178" s="121"/>
      <c r="J178" s="121"/>
      <c r="K178" s="110"/>
    </row>
    <row r="179" spans="1:11" ht="12.75">
      <c r="A179" s="110"/>
      <c r="B179" s="110" t="s">
        <v>398</v>
      </c>
      <c r="C179" s="110"/>
      <c r="D179" s="121">
        <f t="shared" si="7"/>
        <v>59.180525708699264</v>
      </c>
      <c r="E179" s="121"/>
      <c r="F179" s="121"/>
      <c r="G179" s="121"/>
      <c r="H179" s="121"/>
      <c r="I179" s="121"/>
      <c r="J179" s="121"/>
      <c r="K179" s="110"/>
    </row>
    <row r="180" spans="1:12" ht="12.75">
      <c r="A180" s="110"/>
      <c r="B180" s="110" t="s">
        <v>399</v>
      </c>
      <c r="C180" s="110"/>
      <c r="D180" s="121">
        <f t="shared" si="7"/>
        <v>129.01318341919412</v>
      </c>
      <c r="E180" s="121"/>
      <c r="F180" s="121"/>
      <c r="G180" s="121"/>
      <c r="H180" s="121"/>
      <c r="I180" s="121"/>
      <c r="J180" s="121"/>
      <c r="K180" s="110"/>
      <c r="L180" s="121"/>
    </row>
    <row r="181" spans="1:12" ht="12.75">
      <c r="A181" s="110"/>
      <c r="B181" s="110" t="s">
        <v>400</v>
      </c>
      <c r="C181" s="110"/>
      <c r="D181" s="121">
        <f t="shared" si="7"/>
        <v>146.7093210085601</v>
      </c>
      <c r="E181" s="121"/>
      <c r="F181" s="121"/>
      <c r="G181" s="121"/>
      <c r="H181" s="121"/>
      <c r="I181" s="124"/>
      <c r="J181" s="124"/>
      <c r="K181" s="110"/>
      <c r="L181" s="126"/>
    </row>
    <row r="182" spans="1:12" ht="15" customHeight="1">
      <c r="A182" s="110"/>
      <c r="B182" s="110"/>
      <c r="C182" s="110"/>
      <c r="D182" s="121"/>
      <c r="E182" s="121"/>
      <c r="F182" s="121"/>
      <c r="G182" s="121"/>
      <c r="H182" s="121"/>
      <c r="I182" s="139" t="s">
        <v>433</v>
      </c>
      <c r="J182" s="139" t="s">
        <v>433</v>
      </c>
      <c r="K182" s="110"/>
      <c r="L182" s="126"/>
    </row>
    <row r="183" spans="1:10" ht="15">
      <c r="A183" s="110" t="s">
        <v>391</v>
      </c>
      <c r="B183" s="110"/>
      <c r="C183" s="110"/>
      <c r="D183" s="139" t="s">
        <v>405</v>
      </c>
      <c r="E183" s="139" t="s">
        <v>406</v>
      </c>
      <c r="F183" s="139" t="s">
        <v>360</v>
      </c>
      <c r="G183" s="139"/>
      <c r="H183" s="139" t="s">
        <v>393</v>
      </c>
      <c r="I183" s="139" t="s">
        <v>549</v>
      </c>
      <c r="J183" s="139" t="s">
        <v>550</v>
      </c>
    </row>
    <row r="184" spans="1:10" ht="12.75">
      <c r="A184" s="110"/>
      <c r="B184" s="110" t="s">
        <v>431</v>
      </c>
      <c r="C184" s="110"/>
      <c r="D184" s="121">
        <f>+D159*(1+$F$133)</f>
        <v>471.14153202835496</v>
      </c>
      <c r="E184" s="121">
        <f>+E159*(1+$F$133)</f>
        <v>110.60992557779409</v>
      </c>
      <c r="F184" s="121">
        <f>+F159*(1+$F$133)</f>
        <v>180.30659862443622</v>
      </c>
      <c r="G184" s="121"/>
      <c r="H184" s="121">
        <f>+H159*(1+$F$133)</f>
        <v>131.1345441752964</v>
      </c>
      <c r="I184" s="121">
        <f>+I159*(1+$F$133)</f>
        <v>44.031834155507404</v>
      </c>
      <c r="J184" s="121">
        <f>+J159*(1+$F$133)</f>
        <v>10.108193346384756</v>
      </c>
    </row>
    <row r="185" spans="1:10" ht="12.75">
      <c r="A185" s="110"/>
      <c r="B185" s="134" t="s">
        <v>434</v>
      </c>
      <c r="C185" s="134"/>
      <c r="D185" s="136">
        <f aca="true" t="shared" si="8" ref="D185:J186">+D160*(1+$F$133)</f>
        <v>726.1581049734698</v>
      </c>
      <c r="E185" s="136">
        <f t="shared" si="8"/>
        <v>110.60992557779409</v>
      </c>
      <c r="F185" s="136">
        <f t="shared" si="8"/>
        <v>180.30659862443622</v>
      </c>
      <c r="G185" s="136"/>
      <c r="H185" s="136">
        <f t="shared" si="8"/>
        <v>131.1345441752964</v>
      </c>
      <c r="I185" s="136">
        <f t="shared" si="8"/>
        <v>44.031834155507404</v>
      </c>
      <c r="J185" s="136">
        <f t="shared" si="8"/>
        <v>10.108193346384756</v>
      </c>
    </row>
    <row r="186" spans="1:11" ht="12.75">
      <c r="A186" s="110"/>
      <c r="B186" s="110" t="s">
        <v>432</v>
      </c>
      <c r="C186" s="110"/>
      <c r="D186" s="121">
        <f t="shared" si="8"/>
        <v>883.0390788382126</v>
      </c>
      <c r="E186" s="121">
        <f t="shared" si="8"/>
        <v>110.60992557779409</v>
      </c>
      <c r="F186" s="121">
        <f t="shared" si="8"/>
        <v>180.30659862443622</v>
      </c>
      <c r="G186" s="121"/>
      <c r="H186" s="121">
        <f t="shared" si="8"/>
        <v>131.1345441752964</v>
      </c>
      <c r="I186" s="121">
        <f t="shared" si="8"/>
        <v>44.031834155507404</v>
      </c>
      <c r="J186" s="121">
        <f t="shared" si="8"/>
        <v>10.108193346384756</v>
      </c>
      <c r="K186" s="126"/>
    </row>
    <row r="187" spans="1:10" ht="12.75">
      <c r="A187" s="110"/>
      <c r="B187" s="110"/>
      <c r="C187" s="110"/>
      <c r="D187" s="121"/>
      <c r="E187" s="121"/>
      <c r="F187" s="121"/>
      <c r="G187" s="121"/>
      <c r="H187" s="121"/>
      <c r="I187" s="121"/>
      <c r="J187" s="121"/>
    </row>
    <row r="188" spans="1:8" ht="12.75">
      <c r="A188" s="134"/>
      <c r="B188" s="110" t="s">
        <v>427</v>
      </c>
      <c r="C188" s="110" t="s">
        <v>428</v>
      </c>
      <c r="D188" s="110"/>
      <c r="E188" s="110"/>
      <c r="F188" s="124"/>
      <c r="G188" s="124"/>
      <c r="H188" s="124"/>
    </row>
    <row r="189" spans="1:8" ht="12.75">
      <c r="A189" s="110"/>
      <c r="B189" s="110"/>
      <c r="C189" s="110"/>
      <c r="D189" s="110"/>
      <c r="E189" s="110"/>
      <c r="F189" s="124"/>
      <c r="G189" s="124"/>
      <c r="H189" s="124"/>
    </row>
    <row r="190" spans="1:8" ht="12.75">
      <c r="A190" s="135"/>
      <c r="B190" s="134"/>
      <c r="C190" s="134"/>
      <c r="D190" s="192"/>
      <c r="E190" s="193">
        <v>2007</v>
      </c>
      <c r="F190" s="135"/>
      <c r="G190" s="124"/>
      <c r="H190" s="124"/>
    </row>
    <row r="191" spans="1:8" ht="12.75">
      <c r="A191" s="197" t="s">
        <v>327</v>
      </c>
      <c r="B191" s="134"/>
      <c r="C191" s="134"/>
      <c r="D191" s="134" t="s">
        <v>325</v>
      </c>
      <c r="E191" s="194">
        <f>+'Method - A'!M51</f>
        <v>-0.09343557431526865</v>
      </c>
      <c r="F191" s="135"/>
      <c r="G191" s="124"/>
      <c r="H191" s="124"/>
    </row>
    <row r="192" spans="1:8" ht="12.75">
      <c r="A192" s="198" t="s">
        <v>531</v>
      </c>
      <c r="B192" s="192"/>
      <c r="C192" s="192"/>
      <c r="D192" s="134" t="s">
        <v>333</v>
      </c>
      <c r="E192" s="196">
        <v>4.333</v>
      </c>
      <c r="F192" s="135"/>
      <c r="G192" s="124"/>
      <c r="H192" s="124"/>
    </row>
    <row r="193" spans="1:11" ht="12.75">
      <c r="A193" s="198" t="s">
        <v>551</v>
      </c>
      <c r="B193" s="192"/>
      <c r="C193" s="192"/>
      <c r="D193" s="134"/>
      <c r="E193" s="196"/>
      <c r="F193" s="135"/>
      <c r="H193" s="124"/>
      <c r="K193" s="185" t="s">
        <v>499</v>
      </c>
    </row>
    <row r="194" spans="1:12" ht="12.75">
      <c r="A194" s="195"/>
      <c r="B194" s="134"/>
      <c r="C194" s="134"/>
      <c r="D194" s="222" t="s">
        <v>200</v>
      </c>
      <c r="E194" s="193">
        <v>2007</v>
      </c>
      <c r="F194" s="135"/>
      <c r="K194" s="109">
        <v>2007</v>
      </c>
      <c r="L194" s="109">
        <v>2007</v>
      </c>
    </row>
    <row r="195" spans="1:12" ht="12.75">
      <c r="A195" s="135"/>
      <c r="B195" s="134"/>
      <c r="C195" s="134"/>
      <c r="D195" s="222" t="s">
        <v>170</v>
      </c>
      <c r="E195" s="223" t="s">
        <v>500</v>
      </c>
      <c r="F195" s="135"/>
      <c r="K195" s="184" t="s">
        <v>500</v>
      </c>
      <c r="L195" s="184" t="s">
        <v>500</v>
      </c>
    </row>
    <row r="196" spans="1:12" ht="12.75">
      <c r="A196" s="199" t="s">
        <v>337</v>
      </c>
      <c r="B196" s="134"/>
      <c r="C196" s="135"/>
      <c r="D196" s="222" t="s">
        <v>172</v>
      </c>
      <c r="E196" s="222" t="s">
        <v>501</v>
      </c>
      <c r="F196" s="135"/>
      <c r="K196" s="116" t="s">
        <v>502</v>
      </c>
      <c r="L196" s="116" t="s">
        <v>503</v>
      </c>
    </row>
    <row r="197" spans="1:12" ht="12.75">
      <c r="A197" s="200" t="s">
        <v>524</v>
      </c>
      <c r="B197" s="135"/>
      <c r="C197" s="135"/>
      <c r="D197" s="135"/>
      <c r="E197" s="135"/>
      <c r="F197" s="135"/>
      <c r="K197" s="124"/>
      <c r="L197" s="124"/>
    </row>
    <row r="198" spans="1:12" ht="12.75">
      <c r="A198" s="135"/>
      <c r="B198" s="201" t="s">
        <v>532</v>
      </c>
      <c r="C198" s="135"/>
      <c r="D198" s="202"/>
      <c r="E198" s="135"/>
      <c r="F198" s="135"/>
      <c r="K198" s="121"/>
      <c r="L198" s="121"/>
    </row>
    <row r="199" spans="1:12" ht="12.75">
      <c r="A199" s="135"/>
      <c r="B199" s="135"/>
      <c r="C199" s="203">
        <v>1</v>
      </c>
      <c r="D199" s="204">
        <v>46.91</v>
      </c>
      <c r="E199" s="136">
        <f>+D199*(1+$E$191)</f>
        <v>42.52693720887075</v>
      </c>
      <c r="F199" s="135"/>
      <c r="K199" s="121">
        <f>+E199*3</f>
        <v>127.58081162661225</v>
      </c>
      <c r="L199" s="121">
        <f>+E199*12/52</f>
        <v>9.81390858666248</v>
      </c>
    </row>
    <row r="200" spans="1:12" ht="12.75">
      <c r="A200" s="135"/>
      <c r="B200" s="135"/>
      <c r="C200" s="205">
        <v>2</v>
      </c>
      <c r="D200" s="204">
        <f>+D199*2</f>
        <v>93.82</v>
      </c>
      <c r="E200" s="136">
        <f>+D200*(1+$E$191)</f>
        <v>85.0538744177415</v>
      </c>
      <c r="F200" s="135"/>
      <c r="K200" s="121">
        <f>+E200*3</f>
        <v>255.1616232532245</v>
      </c>
      <c r="L200" s="121">
        <f>+E200*12/52</f>
        <v>19.62781717332496</v>
      </c>
    </row>
    <row r="201" spans="1:12" ht="12.75">
      <c r="A201" s="135"/>
      <c r="B201" s="135"/>
      <c r="C201" s="205">
        <v>3</v>
      </c>
      <c r="D201" s="204">
        <f>+D199*3</f>
        <v>140.73</v>
      </c>
      <c r="E201" s="136">
        <f>+D201*(1+$E$191)</f>
        <v>127.58081162661225</v>
      </c>
      <c r="F201" s="135"/>
      <c r="K201" s="121">
        <f>+E201*3</f>
        <v>382.74243487983676</v>
      </c>
      <c r="L201" s="121">
        <f>+E201*12/52</f>
        <v>29.441725759987442</v>
      </c>
    </row>
    <row r="202" spans="1:12" ht="12.75">
      <c r="A202" s="135"/>
      <c r="B202" s="135"/>
      <c r="C202" s="205">
        <v>4</v>
      </c>
      <c r="D202" s="204">
        <f>+D199*4</f>
        <v>187.64</v>
      </c>
      <c r="E202" s="136">
        <f>+D202*(1+$E$191)</f>
        <v>170.107748835483</v>
      </c>
      <c r="F202" s="135"/>
      <c r="K202" s="121">
        <f>+E202*3</f>
        <v>510.323246506449</v>
      </c>
      <c r="L202" s="121">
        <f>+E202*12/52</f>
        <v>39.25563434664992</v>
      </c>
    </row>
    <row r="203" spans="1:8" ht="12.75">
      <c r="A203" s="135"/>
      <c r="B203" s="135"/>
      <c r="C203" s="205"/>
      <c r="D203" s="206"/>
      <c r="E203" s="135"/>
      <c r="F203" s="135"/>
      <c r="G203" s="124"/>
      <c r="H203" s="124"/>
    </row>
    <row r="204" spans="1:8" ht="12.75">
      <c r="A204" s="135"/>
      <c r="B204" s="135"/>
      <c r="C204" s="205"/>
      <c r="D204" s="206"/>
      <c r="E204" s="135"/>
      <c r="F204" s="135"/>
      <c r="G204" s="124"/>
      <c r="H204" s="124"/>
    </row>
    <row r="205" spans="1:8" ht="12.75">
      <c r="A205" s="135"/>
      <c r="B205" s="135"/>
      <c r="C205" s="205"/>
      <c r="D205" s="225" t="s">
        <v>533</v>
      </c>
      <c r="E205" s="225"/>
      <c r="F205" s="225"/>
      <c r="G205" s="124"/>
      <c r="H205" s="124"/>
    </row>
    <row r="206" spans="1:8" ht="12.75">
      <c r="A206" s="195"/>
      <c r="B206" s="135"/>
      <c r="C206" s="135"/>
      <c r="D206" s="207" t="s">
        <v>514</v>
      </c>
      <c r="E206" s="207" t="s">
        <v>515</v>
      </c>
      <c r="F206" s="207" t="s">
        <v>516</v>
      </c>
      <c r="G206" s="124"/>
      <c r="H206" s="124"/>
    </row>
    <row r="207" spans="1:8" ht="12.75">
      <c r="A207" s="201" t="s">
        <v>513</v>
      </c>
      <c r="B207" s="135"/>
      <c r="C207" s="195"/>
      <c r="D207" s="208" t="s">
        <v>535</v>
      </c>
      <c r="E207" s="208" t="s">
        <v>536</v>
      </c>
      <c r="F207" s="208" t="s">
        <v>537</v>
      </c>
      <c r="G207" s="124"/>
      <c r="H207" s="124"/>
    </row>
    <row r="208" spans="1:8" ht="12.75">
      <c r="A208" s="135"/>
      <c r="B208" s="135"/>
      <c r="C208" s="205" t="s">
        <v>517</v>
      </c>
      <c r="D208" s="204">
        <v>198.3</v>
      </c>
      <c r="E208" s="204">
        <v>367.39</v>
      </c>
      <c r="F208" s="204">
        <v>536.48</v>
      </c>
      <c r="G208" s="124"/>
      <c r="H208" s="124"/>
    </row>
    <row r="209" spans="1:8" ht="12.75">
      <c r="A209" s="135"/>
      <c r="B209" s="135"/>
      <c r="C209" s="205" t="s">
        <v>518</v>
      </c>
      <c r="D209" s="204">
        <v>357.65</v>
      </c>
      <c r="E209" s="204">
        <v>695.83</v>
      </c>
      <c r="F209" s="204">
        <v>1034.01</v>
      </c>
      <c r="G209" s="124"/>
      <c r="H209" s="124"/>
    </row>
    <row r="210" spans="1:8" ht="12.75">
      <c r="A210" s="135"/>
      <c r="B210" s="135"/>
      <c r="C210" s="135"/>
      <c r="D210" s="135"/>
      <c r="E210" s="135"/>
      <c r="F210" s="135"/>
      <c r="G210" s="124"/>
      <c r="H210" s="124"/>
    </row>
    <row r="211" spans="1:8" ht="12.75">
      <c r="A211" s="135"/>
      <c r="B211" s="135"/>
      <c r="C211" s="135"/>
      <c r="D211" s="226" t="s">
        <v>534</v>
      </c>
      <c r="E211" s="226"/>
      <c r="F211" s="226"/>
      <c r="G211" s="124"/>
      <c r="H211" s="124"/>
    </row>
    <row r="212" spans="1:8" ht="12.75">
      <c r="A212" s="135"/>
      <c r="B212" s="135"/>
      <c r="C212" s="205" t="s">
        <v>517</v>
      </c>
      <c r="D212" s="136">
        <f aca="true" t="shared" si="9" ref="D212:F213">+D208*(1+$E$191)</f>
        <v>179.77172561328226</v>
      </c>
      <c r="E212" s="136">
        <f t="shared" si="9"/>
        <v>333.06270435231346</v>
      </c>
      <c r="F212" s="136">
        <f t="shared" si="9"/>
        <v>486.3536830913447</v>
      </c>
      <c r="G212" s="124"/>
      <c r="H212" s="124"/>
    </row>
    <row r="213" spans="1:8" ht="12.75">
      <c r="A213" s="135"/>
      <c r="B213" s="135"/>
      <c r="C213" s="205" t="s">
        <v>518</v>
      </c>
      <c r="D213" s="136">
        <f t="shared" si="9"/>
        <v>324.23276684614416</v>
      </c>
      <c r="E213" s="136">
        <f t="shared" si="9"/>
        <v>630.8147243242067</v>
      </c>
      <c r="F213" s="136">
        <f t="shared" si="9"/>
        <v>937.3966818022691</v>
      </c>
      <c r="G213" s="124"/>
      <c r="H213" s="124"/>
    </row>
    <row r="214" spans="1:8" ht="12.75">
      <c r="A214" s="135"/>
      <c r="B214" s="135"/>
      <c r="C214" s="135"/>
      <c r="D214" s="135"/>
      <c r="E214" s="135"/>
      <c r="F214" s="135"/>
      <c r="G214" s="124"/>
      <c r="H214" s="124"/>
    </row>
    <row r="215" spans="1:8" ht="12.75">
      <c r="A215" s="135"/>
      <c r="B215" s="135"/>
      <c r="C215" s="135"/>
      <c r="D215" s="225" t="s">
        <v>533</v>
      </c>
      <c r="E215" s="225"/>
      <c r="F215" s="225"/>
      <c r="G215" s="124"/>
      <c r="H215" s="124"/>
    </row>
    <row r="216" spans="1:8" ht="12.75">
      <c r="A216" s="135"/>
      <c r="B216" s="135"/>
      <c r="C216" s="135"/>
      <c r="D216" s="209" t="s">
        <v>520</v>
      </c>
      <c r="E216" s="209" t="s">
        <v>521</v>
      </c>
      <c r="F216" s="209" t="s">
        <v>522</v>
      </c>
      <c r="G216" s="124"/>
      <c r="H216" s="124"/>
    </row>
    <row r="217" spans="1:8" ht="15">
      <c r="A217" s="210" t="s">
        <v>519</v>
      </c>
      <c r="B217" s="135"/>
      <c r="C217" s="135"/>
      <c r="D217" s="211" t="s">
        <v>538</v>
      </c>
      <c r="E217" s="211" t="s">
        <v>523</v>
      </c>
      <c r="F217" s="211" t="s">
        <v>539</v>
      </c>
      <c r="G217" s="124"/>
      <c r="H217" s="124"/>
    </row>
    <row r="218" spans="1:8" ht="12.75">
      <c r="A218" s="135"/>
      <c r="B218" s="135"/>
      <c r="C218" s="205" t="s">
        <v>517</v>
      </c>
      <c r="D218" s="204">
        <v>179.8</v>
      </c>
      <c r="E218" s="204">
        <v>333.1</v>
      </c>
      <c r="F218" s="204">
        <v>486.41</v>
      </c>
      <c r="G218" s="124"/>
      <c r="H218" s="124"/>
    </row>
    <row r="219" spans="1:8" ht="12.75">
      <c r="A219" s="135"/>
      <c r="B219" s="135"/>
      <c r="C219" s="205" t="s">
        <v>518</v>
      </c>
      <c r="D219" s="204">
        <v>320.65</v>
      </c>
      <c r="E219" s="204">
        <v>627.25</v>
      </c>
      <c r="F219" s="212">
        <v>933.87</v>
      </c>
      <c r="G219" s="124"/>
      <c r="H219" s="124"/>
    </row>
    <row r="220" spans="1:8" ht="12.75">
      <c r="A220" s="135"/>
      <c r="B220" s="135"/>
      <c r="C220" s="135"/>
      <c r="D220" s="135"/>
      <c r="E220" s="135"/>
      <c r="F220" s="135"/>
      <c r="G220" s="124"/>
      <c r="H220" s="124"/>
    </row>
    <row r="221" spans="1:8" ht="12.75">
      <c r="A221" s="135"/>
      <c r="B221" s="135"/>
      <c r="C221" s="135"/>
      <c r="D221" s="226" t="s">
        <v>534</v>
      </c>
      <c r="E221" s="226"/>
      <c r="F221" s="226"/>
      <c r="G221" s="124"/>
      <c r="H221" s="124"/>
    </row>
    <row r="222" spans="1:8" ht="12.75">
      <c r="A222" s="135"/>
      <c r="B222" s="135"/>
      <c r="C222" s="205" t="s">
        <v>517</v>
      </c>
      <c r="D222" s="136">
        <f aca="true" t="shared" si="10" ref="D222:F223">+D218*(1+$E$191)</f>
        <v>163.00028373811472</v>
      </c>
      <c r="E222" s="136">
        <f t="shared" si="10"/>
        <v>301.97661019558404</v>
      </c>
      <c r="F222" s="136">
        <f t="shared" si="10"/>
        <v>440.9620022973102</v>
      </c>
      <c r="G222" s="124"/>
      <c r="H222" s="124"/>
    </row>
    <row r="223" spans="1:8" ht="12.75">
      <c r="A223" s="135"/>
      <c r="B223" s="135"/>
      <c r="C223" s="205" t="s">
        <v>518</v>
      </c>
      <c r="D223" s="136">
        <f t="shared" si="10"/>
        <v>290.6898830958091</v>
      </c>
      <c r="E223" s="136">
        <f t="shared" si="10"/>
        <v>568.6425360107478</v>
      </c>
      <c r="F223" s="136">
        <f t="shared" si="10"/>
        <v>846.6133202142001</v>
      </c>
      <c r="G223" s="124"/>
      <c r="H223" s="124"/>
    </row>
    <row r="224" spans="1:8" ht="12.75">
      <c r="A224" s="124"/>
      <c r="B224" s="124"/>
      <c r="C224" s="191"/>
      <c r="D224" s="121"/>
      <c r="E224" s="121"/>
      <c r="F224" s="121"/>
      <c r="G224" s="124"/>
      <c r="H224" s="124"/>
    </row>
    <row r="225" spans="1:8" ht="12.75" hidden="1">
      <c r="A225" s="169"/>
      <c r="C225" s="213" t="s">
        <v>508</v>
      </c>
      <c r="D225" s="121"/>
      <c r="E225" s="121"/>
      <c r="F225" s="121"/>
      <c r="G225" s="124"/>
      <c r="H225" s="124"/>
    </row>
    <row r="226" spans="2:8" ht="12.75" hidden="1">
      <c r="B226" s="227" t="s">
        <v>507</v>
      </c>
      <c r="C226" s="214" t="s">
        <v>525</v>
      </c>
      <c r="D226" s="121"/>
      <c r="E226" s="121"/>
      <c r="F226" s="121"/>
      <c r="G226" s="124"/>
      <c r="H226" s="124"/>
    </row>
    <row r="227" spans="2:8" ht="12.75" hidden="1">
      <c r="B227" s="227"/>
      <c r="C227" s="215" t="s">
        <v>526</v>
      </c>
      <c r="D227" s="121"/>
      <c r="E227" s="121"/>
      <c r="F227" s="121"/>
      <c r="G227" s="124"/>
      <c r="H227" s="124"/>
    </row>
    <row r="228" spans="2:8" ht="12.75" hidden="1">
      <c r="B228" s="227"/>
      <c r="C228" s="191" t="s">
        <v>527</v>
      </c>
      <c r="D228" s="121"/>
      <c r="E228" s="121"/>
      <c r="F228" s="121"/>
      <c r="G228" s="124"/>
      <c r="H228" s="124"/>
    </row>
    <row r="229" spans="2:8" ht="12.75" hidden="1">
      <c r="B229" s="227" t="s">
        <v>507</v>
      </c>
      <c r="C229" s="191" t="s">
        <v>528</v>
      </c>
      <c r="D229" s="121"/>
      <c r="E229" s="121"/>
      <c r="F229" s="121"/>
      <c r="G229" s="124"/>
      <c r="H229" s="124"/>
    </row>
    <row r="230" spans="2:8" ht="12.75" hidden="1">
      <c r="B230" s="227"/>
      <c r="C230" s="191" t="s">
        <v>529</v>
      </c>
      <c r="D230" s="121"/>
      <c r="E230" s="121"/>
      <c r="F230" s="121"/>
      <c r="G230" s="124"/>
      <c r="H230" s="124"/>
    </row>
    <row r="231" spans="2:8" ht="12.75" hidden="1">
      <c r="B231" s="227"/>
      <c r="C231" s="188" t="s">
        <v>530</v>
      </c>
      <c r="D231" s="121"/>
      <c r="E231" s="121"/>
      <c r="F231" s="121"/>
      <c r="G231" s="124"/>
      <c r="H231" s="124"/>
    </row>
    <row r="232" spans="1:8" ht="12.75">
      <c r="A232" s="124"/>
      <c r="B232" s="124"/>
      <c r="C232" s="124"/>
      <c r="D232" s="124"/>
      <c r="E232" s="124"/>
      <c r="F232" s="124"/>
      <c r="G232" s="124"/>
      <c r="H232" s="124"/>
    </row>
    <row r="235" spans="1:6" ht="12.75">
      <c r="A235" s="134"/>
      <c r="B235" s="110" t="s">
        <v>427</v>
      </c>
      <c r="C235" s="110" t="s">
        <v>428</v>
      </c>
      <c r="D235" s="110"/>
      <c r="E235" s="110"/>
      <c r="F235" s="124"/>
    </row>
    <row r="236" spans="1:6" ht="12.75">
      <c r="A236" s="110"/>
      <c r="B236" s="110"/>
      <c r="C236" s="110"/>
      <c r="D236" s="110"/>
      <c r="E236" s="110"/>
      <c r="F236" s="124"/>
    </row>
    <row r="237" spans="1:6" ht="12.75">
      <c r="A237" s="135"/>
      <c r="B237" s="134"/>
      <c r="C237" s="134"/>
      <c r="D237" s="192"/>
      <c r="E237" s="193">
        <v>2007</v>
      </c>
      <c r="F237" s="135"/>
    </row>
    <row r="238" spans="1:6" ht="12.75">
      <c r="A238" s="197" t="s">
        <v>327</v>
      </c>
      <c r="B238" s="134"/>
      <c r="C238" s="134"/>
      <c r="D238" s="134" t="s">
        <v>325</v>
      </c>
      <c r="E238" s="194">
        <f>+'Method - A'!M51</f>
        <v>-0.09343557431526865</v>
      </c>
      <c r="F238" s="135"/>
    </row>
    <row r="239" spans="1:6" ht="12.75">
      <c r="A239" s="198" t="s">
        <v>531</v>
      </c>
      <c r="B239" s="192"/>
      <c r="C239" s="192"/>
      <c r="D239" s="134" t="s">
        <v>333</v>
      </c>
      <c r="E239" s="196">
        <v>4.333</v>
      </c>
      <c r="F239" s="135"/>
    </row>
    <row r="240" spans="1:11" ht="12.75">
      <c r="A240" s="198" t="s">
        <v>336</v>
      </c>
      <c r="B240" s="192"/>
      <c r="C240" s="192"/>
      <c r="D240" s="134"/>
      <c r="E240" s="196"/>
      <c r="F240" s="135"/>
      <c r="K240" s="185" t="s">
        <v>499</v>
      </c>
    </row>
    <row r="241" spans="1:12" ht="12.75">
      <c r="A241" s="195"/>
      <c r="B241" s="134"/>
      <c r="C241" s="134"/>
      <c r="D241" s="222" t="s">
        <v>200</v>
      </c>
      <c r="E241" s="193">
        <v>2007</v>
      </c>
      <c r="F241" s="135"/>
      <c r="K241" s="109">
        <v>2007</v>
      </c>
      <c r="L241" s="109">
        <v>2007</v>
      </c>
    </row>
    <row r="242" spans="1:12" ht="12.75">
      <c r="A242" s="135"/>
      <c r="B242" s="134"/>
      <c r="C242" s="134"/>
      <c r="D242" s="222" t="s">
        <v>170</v>
      </c>
      <c r="E242" s="223" t="s">
        <v>500</v>
      </c>
      <c r="F242" s="135"/>
      <c r="K242" s="184" t="s">
        <v>500</v>
      </c>
      <c r="L242" s="184" t="s">
        <v>500</v>
      </c>
    </row>
    <row r="243" spans="1:12" ht="12.75">
      <c r="A243" s="199" t="s">
        <v>337</v>
      </c>
      <c r="B243" s="134"/>
      <c r="C243" s="135"/>
      <c r="D243" s="222" t="s">
        <v>172</v>
      </c>
      <c r="E243" s="222" t="s">
        <v>501</v>
      </c>
      <c r="F243" s="135"/>
      <c r="K243" s="116" t="s">
        <v>502</v>
      </c>
      <c r="L243" s="116" t="s">
        <v>503</v>
      </c>
    </row>
    <row r="244" spans="1:12" ht="12.75">
      <c r="A244" s="200" t="s">
        <v>524</v>
      </c>
      <c r="B244" s="135"/>
      <c r="C244" s="135"/>
      <c r="D244" s="135"/>
      <c r="E244" s="135"/>
      <c r="F244" s="135"/>
      <c r="K244" s="124"/>
      <c r="L244" s="124"/>
    </row>
    <row r="245" spans="1:12" ht="12.75">
      <c r="A245" s="135"/>
      <c r="B245" s="201" t="s">
        <v>532</v>
      </c>
      <c r="C245" s="135"/>
      <c r="D245" s="202"/>
      <c r="E245" s="135"/>
      <c r="F245" s="135"/>
      <c r="K245" s="121"/>
      <c r="L245" s="121"/>
    </row>
    <row r="246" spans="1:12" ht="12.75">
      <c r="A246" s="135"/>
      <c r="B246" s="135"/>
      <c r="C246" s="203">
        <v>1</v>
      </c>
      <c r="D246" s="204">
        <v>48.13</v>
      </c>
      <c r="E246" s="136">
        <f>+D246*(1+$E$191)</f>
        <v>43.632945808206124</v>
      </c>
      <c r="F246" s="135"/>
      <c r="K246" s="121">
        <f>+E246*3</f>
        <v>130.89883742461836</v>
      </c>
      <c r="L246" s="121">
        <f>+E246*12/52</f>
        <v>10.069141340355259</v>
      </c>
    </row>
    <row r="247" spans="1:12" ht="12.75">
      <c r="A247" s="135"/>
      <c r="B247" s="135"/>
      <c r="C247" s="205">
        <v>2</v>
      </c>
      <c r="D247" s="204">
        <f>+D246*2</f>
        <v>96.26</v>
      </c>
      <c r="E247" s="136">
        <f>+D247*(1+$E$191)</f>
        <v>87.26589161641225</v>
      </c>
      <c r="F247" s="135"/>
      <c r="K247" s="121">
        <f>+E247*3</f>
        <v>261.7976748492367</v>
      </c>
      <c r="L247" s="121">
        <f>+E247*12/52</f>
        <v>20.138282680710518</v>
      </c>
    </row>
    <row r="248" spans="1:12" ht="12.75">
      <c r="A248" s="135"/>
      <c r="B248" s="135"/>
      <c r="C248" s="205">
        <v>3</v>
      </c>
      <c r="D248" s="204">
        <f>+D246*3</f>
        <v>144.39000000000001</v>
      </c>
      <c r="E248" s="136">
        <f>+D248*(1+$E$191)</f>
        <v>130.8988374246184</v>
      </c>
      <c r="F248" s="135"/>
      <c r="K248" s="121">
        <f>+E248*3</f>
        <v>392.6965122738552</v>
      </c>
      <c r="L248" s="121">
        <f>+E248*12/52</f>
        <v>30.207424021065783</v>
      </c>
    </row>
    <row r="249" spans="1:12" ht="12.75">
      <c r="A249" s="135"/>
      <c r="B249" s="135"/>
      <c r="C249" s="205">
        <v>4</v>
      </c>
      <c r="D249" s="204">
        <f>+D246*4</f>
        <v>192.52</v>
      </c>
      <c r="E249" s="136">
        <f>+D249*(1+$E$191)</f>
        <v>174.5317832328245</v>
      </c>
      <c r="F249" s="135"/>
      <c r="K249" s="121">
        <f>+E249*3</f>
        <v>523.5953496984735</v>
      </c>
      <c r="L249" s="121">
        <f>+E249*12/52</f>
        <v>40.276565361421035</v>
      </c>
    </row>
    <row r="250" spans="1:6" ht="12.75">
      <c r="A250" s="135"/>
      <c r="B250" s="135"/>
      <c r="C250" s="205"/>
      <c r="D250" s="206"/>
      <c r="E250" s="135"/>
      <c r="F250" s="135"/>
    </row>
    <row r="251" spans="1:6" ht="12.75">
      <c r="A251" s="135"/>
      <c r="B251" s="135"/>
      <c r="C251" s="205"/>
      <c r="D251" s="206"/>
      <c r="E251" s="135"/>
      <c r="F251" s="135"/>
    </row>
    <row r="252" spans="1:6" ht="12.75">
      <c r="A252" s="135"/>
      <c r="B252" s="135"/>
      <c r="C252" s="205"/>
      <c r="D252" s="225" t="s">
        <v>533</v>
      </c>
      <c r="E252" s="225"/>
      <c r="F252" s="225"/>
    </row>
    <row r="253" spans="1:6" ht="12.75">
      <c r="A253" s="195"/>
      <c r="B253" s="135"/>
      <c r="C253" s="135"/>
      <c r="D253" s="207" t="s">
        <v>514</v>
      </c>
      <c r="E253" s="207" t="s">
        <v>515</v>
      </c>
      <c r="F253" s="207" t="s">
        <v>516</v>
      </c>
    </row>
    <row r="254" spans="1:6" ht="12.75">
      <c r="A254" s="201" t="s">
        <v>513</v>
      </c>
      <c r="B254" s="135"/>
      <c r="C254" s="195"/>
      <c r="D254" s="208" t="s">
        <v>535</v>
      </c>
      <c r="E254" s="208" t="s">
        <v>536</v>
      </c>
      <c r="F254" s="208" t="s">
        <v>537</v>
      </c>
    </row>
    <row r="255" spans="1:6" ht="12.75">
      <c r="A255" s="135"/>
      <c r="B255" s="135"/>
      <c r="C255" s="205" t="s">
        <v>517</v>
      </c>
      <c r="D255" s="204">
        <v>203.51</v>
      </c>
      <c r="E255" s="204">
        <v>376.95</v>
      </c>
      <c r="F255" s="204">
        <v>550.4</v>
      </c>
    </row>
    <row r="256" spans="1:6" ht="12.75">
      <c r="A256" s="135"/>
      <c r="B256" s="135"/>
      <c r="C256" s="205" t="s">
        <v>518</v>
      </c>
      <c r="D256" s="204">
        <v>366.94</v>
      </c>
      <c r="E256" s="204">
        <v>713.82</v>
      </c>
      <c r="F256" s="204">
        <v>1060.72</v>
      </c>
    </row>
    <row r="257" spans="1:6" ht="12.75">
      <c r="A257" s="135"/>
      <c r="B257" s="135"/>
      <c r="C257" s="135"/>
      <c r="D257" s="135"/>
      <c r="E257" s="135"/>
      <c r="F257" s="135"/>
    </row>
    <row r="258" spans="1:6" ht="12.75">
      <c r="A258" s="135"/>
      <c r="B258" s="135"/>
      <c r="C258" s="135"/>
      <c r="D258" s="226" t="s">
        <v>534</v>
      </c>
      <c r="E258" s="226"/>
      <c r="F258" s="226"/>
    </row>
    <row r="259" spans="1:6" ht="12.75">
      <c r="A259" s="135"/>
      <c r="B259" s="135"/>
      <c r="C259" s="205" t="s">
        <v>517</v>
      </c>
      <c r="D259" s="136">
        <f aca="true" t="shared" si="11" ref="D259:F260">+D255*(1+$E$191)</f>
        <v>184.49492627109967</v>
      </c>
      <c r="E259" s="136">
        <f t="shared" si="11"/>
        <v>341.7294602618595</v>
      </c>
      <c r="F259" s="136">
        <f t="shared" si="11"/>
        <v>498.9730598968761</v>
      </c>
    </row>
    <row r="260" spans="1:6" ht="12.75">
      <c r="A260" s="135"/>
      <c r="B260" s="135"/>
      <c r="C260" s="205" t="s">
        <v>518</v>
      </c>
      <c r="D260" s="136">
        <f t="shared" si="11"/>
        <v>332.6547503607553</v>
      </c>
      <c r="E260" s="136">
        <f t="shared" si="11"/>
        <v>647.1238183422751</v>
      </c>
      <c r="F260" s="136">
        <f t="shared" si="11"/>
        <v>961.6110176123083</v>
      </c>
    </row>
    <row r="261" spans="1:6" ht="12.75">
      <c r="A261" s="135"/>
      <c r="B261" s="135"/>
      <c r="C261" s="135"/>
      <c r="D261" s="135"/>
      <c r="E261" s="135"/>
      <c r="F261" s="135"/>
    </row>
    <row r="262" spans="1:6" ht="12.75">
      <c r="A262" s="135"/>
      <c r="B262" s="135"/>
      <c r="C262" s="135"/>
      <c r="D262" s="225" t="s">
        <v>533</v>
      </c>
      <c r="E262" s="225"/>
      <c r="F262" s="225"/>
    </row>
    <row r="263" spans="1:6" ht="12.75">
      <c r="A263" s="135"/>
      <c r="B263" s="135"/>
      <c r="C263" s="135"/>
      <c r="D263" s="209" t="s">
        <v>520</v>
      </c>
      <c r="E263" s="209" t="s">
        <v>521</v>
      </c>
      <c r="F263" s="209" t="s">
        <v>522</v>
      </c>
    </row>
    <row r="264" spans="1:6" ht="15">
      <c r="A264" s="210" t="s">
        <v>519</v>
      </c>
      <c r="B264" s="135"/>
      <c r="C264" s="135"/>
      <c r="D264" s="211" t="s">
        <v>538</v>
      </c>
      <c r="E264" s="211" t="s">
        <v>523</v>
      </c>
      <c r="F264" s="211" t="s">
        <v>539</v>
      </c>
    </row>
    <row r="265" spans="1:6" ht="12.75">
      <c r="A265" s="135"/>
      <c r="B265" s="135"/>
      <c r="C265" s="205" t="s">
        <v>517</v>
      </c>
      <c r="D265" s="204">
        <v>184.52</v>
      </c>
      <c r="E265" s="204">
        <v>341.77</v>
      </c>
      <c r="F265" s="204">
        <v>499.03</v>
      </c>
    </row>
    <row r="266" spans="1:6" ht="12.75">
      <c r="A266" s="135"/>
      <c r="B266" s="135"/>
      <c r="C266" s="205" t="s">
        <v>518</v>
      </c>
      <c r="D266" s="204">
        <v>328.96</v>
      </c>
      <c r="E266" s="204">
        <v>643.46</v>
      </c>
      <c r="F266" s="212">
        <v>957.98</v>
      </c>
    </row>
    <row r="267" spans="1:6" ht="12.75">
      <c r="A267" s="135"/>
      <c r="B267" s="135"/>
      <c r="C267" s="135"/>
      <c r="D267" s="135"/>
      <c r="E267" s="135"/>
      <c r="F267" s="135"/>
    </row>
    <row r="268" spans="1:6" ht="12.75">
      <c r="A268" s="135"/>
      <c r="B268" s="135"/>
      <c r="C268" s="135"/>
      <c r="D268" s="226" t="s">
        <v>534</v>
      </c>
      <c r="E268" s="226"/>
      <c r="F268" s="226"/>
    </row>
    <row r="269" spans="1:6" ht="12.75">
      <c r="A269" s="135"/>
      <c r="B269" s="135"/>
      <c r="C269" s="205" t="s">
        <v>517</v>
      </c>
      <c r="D269" s="136">
        <f aca="true" t="shared" si="12" ref="D269:F270">+D265*(1+$E$191)</f>
        <v>167.27926782734664</v>
      </c>
      <c r="E269" s="136">
        <f t="shared" si="12"/>
        <v>309.8365237662706</v>
      </c>
      <c r="F269" s="136">
        <f t="shared" si="12"/>
        <v>452.40284534945147</v>
      </c>
    </row>
    <row r="270" spans="1:6" ht="12.75">
      <c r="A270" s="135"/>
      <c r="B270" s="135"/>
      <c r="C270" s="205" t="s">
        <v>518</v>
      </c>
      <c r="D270" s="136">
        <f t="shared" si="12"/>
        <v>298.2234334732492</v>
      </c>
      <c r="E270" s="136">
        <f t="shared" si="12"/>
        <v>583.3379453510973</v>
      </c>
      <c r="F270" s="136">
        <f t="shared" si="12"/>
        <v>868.470588517459</v>
      </c>
    </row>
    <row r="271" spans="1:6" ht="12.75">
      <c r="A271" s="124"/>
      <c r="B271" s="124"/>
      <c r="C271" s="191"/>
      <c r="D271" s="121"/>
      <c r="E271" s="121"/>
      <c r="F271" s="121"/>
    </row>
    <row r="272" spans="1:6" ht="12.75" hidden="1">
      <c r="A272" s="169"/>
      <c r="C272" s="213" t="s">
        <v>508</v>
      </c>
      <c r="D272" s="121"/>
      <c r="E272" s="121"/>
      <c r="F272" s="121"/>
    </row>
    <row r="273" spans="2:6" ht="12.75" hidden="1">
      <c r="B273" s="227" t="s">
        <v>507</v>
      </c>
      <c r="C273" s="214" t="s">
        <v>525</v>
      </c>
      <c r="D273" s="121"/>
      <c r="E273" s="121"/>
      <c r="F273" s="121"/>
    </row>
    <row r="274" spans="2:6" ht="12.75" hidden="1">
      <c r="B274" s="227"/>
      <c r="C274" s="215" t="s">
        <v>526</v>
      </c>
      <c r="D274" s="121"/>
      <c r="E274" s="121"/>
      <c r="F274" s="121"/>
    </row>
    <row r="275" spans="2:6" ht="12.75" hidden="1">
      <c r="B275" s="227"/>
      <c r="C275" s="191" t="s">
        <v>527</v>
      </c>
      <c r="D275" s="121"/>
      <c r="E275" s="121"/>
      <c r="F275" s="121"/>
    </row>
    <row r="276" spans="2:6" ht="12.75" hidden="1">
      <c r="B276" s="227" t="s">
        <v>507</v>
      </c>
      <c r="C276" s="191" t="s">
        <v>528</v>
      </c>
      <c r="D276" s="121"/>
      <c r="E276" s="121"/>
      <c r="F276" s="121"/>
    </row>
    <row r="277" spans="2:6" ht="12.75" hidden="1">
      <c r="B277" s="227"/>
      <c r="C277" s="191" t="s">
        <v>529</v>
      </c>
      <c r="D277" s="121"/>
      <c r="E277" s="121"/>
      <c r="F277" s="121"/>
    </row>
    <row r="278" spans="2:6" ht="12.75" hidden="1">
      <c r="B278" s="227"/>
      <c r="C278" s="188" t="s">
        <v>530</v>
      </c>
      <c r="D278" s="121"/>
      <c r="E278" s="121"/>
      <c r="F278" s="121"/>
    </row>
    <row r="279" spans="1:6" ht="12.75">
      <c r="A279" s="200" t="s">
        <v>559</v>
      </c>
      <c r="B279" s="135"/>
      <c r="C279" s="135"/>
      <c r="D279" s="225" t="s">
        <v>533</v>
      </c>
      <c r="E279" s="225"/>
      <c r="F279" s="225"/>
    </row>
    <row r="280" spans="1:6" ht="12.75">
      <c r="A280" s="135"/>
      <c r="B280" s="135"/>
      <c r="C280" s="135" t="s">
        <v>560</v>
      </c>
      <c r="D280" s="135" t="s">
        <v>561</v>
      </c>
      <c r="E280" s="135"/>
      <c r="F280" s="136">
        <v>217</v>
      </c>
    </row>
    <row r="281" spans="1:6" ht="12.75">
      <c r="A281" s="135"/>
      <c r="B281" s="135"/>
      <c r="C281" s="135" t="s">
        <v>562</v>
      </c>
      <c r="D281" s="135" t="s">
        <v>564</v>
      </c>
      <c r="E281" s="135"/>
      <c r="F281" s="136">
        <v>60</v>
      </c>
    </row>
    <row r="282" spans="1:6" ht="12.75">
      <c r="A282" s="135"/>
      <c r="B282" s="135"/>
      <c r="C282" s="135" t="s">
        <v>563</v>
      </c>
      <c r="D282" s="135" t="s">
        <v>564</v>
      </c>
      <c r="E282" s="135"/>
      <c r="F282" s="136">
        <v>5</v>
      </c>
    </row>
    <row r="283" spans="1:6" ht="12.75">
      <c r="A283" s="135"/>
      <c r="B283" s="135"/>
      <c r="C283" s="135"/>
      <c r="D283" s="135"/>
      <c r="E283" s="135"/>
      <c r="F283" s="135"/>
    </row>
    <row r="284" spans="1:6" ht="12.75">
      <c r="A284" s="135"/>
      <c r="B284" s="135"/>
      <c r="C284" s="135"/>
      <c r="D284" s="226" t="s">
        <v>534</v>
      </c>
      <c r="E284" s="226"/>
      <c r="F284" s="226"/>
    </row>
    <row r="285" spans="1:6" ht="12.75">
      <c r="A285" s="135"/>
      <c r="B285" s="135"/>
      <c r="C285" s="135" t="s">
        <v>560</v>
      </c>
      <c r="D285" s="135" t="s">
        <v>561</v>
      </c>
      <c r="E285" s="135"/>
      <c r="F285" s="136">
        <f>+F280*(1+$E$238)</f>
        <v>196.72448037358672</v>
      </c>
    </row>
    <row r="286" spans="1:6" ht="12.75">
      <c r="A286" s="135"/>
      <c r="B286" s="135"/>
      <c r="C286" s="135" t="s">
        <v>562</v>
      </c>
      <c r="D286" s="135" t="s">
        <v>564</v>
      </c>
      <c r="E286" s="135"/>
      <c r="F286" s="136">
        <f>+F281*(1+$E$238)</f>
        <v>54.39386554108388</v>
      </c>
    </row>
    <row r="287" spans="1:6" ht="12.75">
      <c r="A287" s="135"/>
      <c r="B287" s="135"/>
      <c r="C287" s="135" t="s">
        <v>563</v>
      </c>
      <c r="D287" s="135" t="s">
        <v>564</v>
      </c>
      <c r="E287" s="135"/>
      <c r="F287" s="136">
        <f>+F282*(1+$E$238)</f>
        <v>4.532822128423657</v>
      </c>
    </row>
  </sheetData>
  <mergeCells count="22">
    <mergeCell ref="B32:B34"/>
    <mergeCell ref="B126:B128"/>
    <mergeCell ref="D205:F205"/>
    <mergeCell ref="D215:F215"/>
    <mergeCell ref="D72:I72"/>
    <mergeCell ref="D71:I71"/>
    <mergeCell ref="D53:I53"/>
    <mergeCell ref="B39:B41"/>
    <mergeCell ref="B42:B44"/>
    <mergeCell ref="D268:F268"/>
    <mergeCell ref="D252:F252"/>
    <mergeCell ref="D258:F258"/>
    <mergeCell ref="D262:F262"/>
    <mergeCell ref="B229:B231"/>
    <mergeCell ref="D221:F221"/>
    <mergeCell ref="B226:B228"/>
    <mergeCell ref="B92:B96"/>
    <mergeCell ref="D211:F211"/>
    <mergeCell ref="D279:F279"/>
    <mergeCell ref="D284:F284"/>
    <mergeCell ref="B273:B275"/>
    <mergeCell ref="B276:B278"/>
  </mergeCells>
  <printOptions/>
  <pageMargins left="0.75" right="0.75" top="0.75" bottom="0.75" header="0.5" footer="0.5"/>
  <pageSetup cellComments="asDisplayed" horizontalDpi="300" verticalDpi="300" orientation="portrait" scale="95" r:id="rId1"/>
  <rowBreaks count="5" manualBreakCount="5">
    <brk id="45" max="255" man="1"/>
    <brk id="97" max="255" man="1"/>
    <brk id="131" max="255" man="1"/>
    <brk id="186" max="11" man="1"/>
    <brk id="2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view="pageBreakPreview" zoomScaleSheetLayoutView="100" workbookViewId="0" topLeftCell="A117">
      <selection activeCell="C122" sqref="C122"/>
    </sheetView>
  </sheetViews>
  <sheetFormatPr defaultColWidth="9.140625" defaultRowHeight="12.75"/>
  <cols>
    <col min="1" max="1" width="6.28125" style="34" customWidth="1"/>
    <col min="2" max="2" width="5.57421875" style="34" customWidth="1"/>
    <col min="3" max="3" width="19.28125" style="34" customWidth="1"/>
    <col min="4" max="9" width="9.140625" style="34" customWidth="1"/>
    <col min="10" max="11" width="0" style="34" hidden="1" customWidth="1"/>
    <col min="12" max="16384" width="9.140625" style="34" customWidth="1"/>
  </cols>
  <sheetData>
    <row r="1" spans="1:8" ht="12.75">
      <c r="A1" s="110"/>
      <c r="B1" s="110"/>
      <c r="C1" s="110"/>
      <c r="D1" s="110"/>
      <c r="E1" s="110"/>
      <c r="F1" s="110"/>
      <c r="G1" s="110"/>
      <c r="H1" s="110"/>
    </row>
    <row r="2" spans="1:8" ht="12.75">
      <c r="A2" s="110"/>
      <c r="B2" s="110"/>
      <c r="C2" s="110"/>
      <c r="D2" s="110"/>
      <c r="E2" s="110"/>
      <c r="F2" s="110"/>
      <c r="G2" s="110"/>
      <c r="H2" s="110"/>
    </row>
    <row r="3" spans="1:8" ht="12.75">
      <c r="A3" s="112" t="s">
        <v>329</v>
      </c>
      <c r="B3" s="113"/>
      <c r="C3" s="113"/>
      <c r="D3" s="113"/>
      <c r="E3" s="113"/>
      <c r="F3" s="109">
        <v>2007</v>
      </c>
      <c r="G3" s="124"/>
      <c r="H3" s="109"/>
    </row>
    <row r="4" spans="1:8" ht="12.75">
      <c r="A4" s="110"/>
      <c r="B4" s="110"/>
      <c r="C4" s="110"/>
      <c r="D4" s="110" t="s">
        <v>325</v>
      </c>
      <c r="E4" s="110"/>
      <c r="F4" s="111">
        <f>+'Method - A'!M51</f>
        <v>-0.09343557431526865</v>
      </c>
      <c r="G4" s="111"/>
      <c r="H4" s="111"/>
    </row>
    <row r="5" spans="1:11" ht="12.75">
      <c r="A5" s="110"/>
      <c r="B5" s="110"/>
      <c r="C5" s="110"/>
      <c r="D5" s="110" t="s">
        <v>430</v>
      </c>
      <c r="E5" s="110"/>
      <c r="F5" s="114">
        <v>4.333</v>
      </c>
      <c r="G5" s="110"/>
      <c r="H5" s="110"/>
      <c r="J5" s="185" t="s">
        <v>499</v>
      </c>
      <c r="K5" s="124"/>
    </row>
    <row r="6" spans="1:11" ht="12.75">
      <c r="A6" s="115" t="s">
        <v>335</v>
      </c>
      <c r="B6" s="113"/>
      <c r="C6" s="113"/>
      <c r="D6" s="113"/>
      <c r="E6" s="132" t="s">
        <v>200</v>
      </c>
      <c r="G6" s="109">
        <v>2007</v>
      </c>
      <c r="H6" s="109"/>
      <c r="J6" s="109">
        <v>2007</v>
      </c>
      <c r="K6" s="109">
        <v>2007</v>
      </c>
    </row>
    <row r="7" spans="1:11" ht="12.75">
      <c r="A7" s="110"/>
      <c r="B7" s="110"/>
      <c r="C7" s="110"/>
      <c r="E7" s="132" t="s">
        <v>170</v>
      </c>
      <c r="G7" s="224" t="s">
        <v>500</v>
      </c>
      <c r="J7" s="184" t="s">
        <v>500</v>
      </c>
      <c r="K7" s="184" t="s">
        <v>500</v>
      </c>
    </row>
    <row r="8" spans="1:11" ht="12.75">
      <c r="A8" s="118" t="s">
        <v>337</v>
      </c>
      <c r="B8" s="110"/>
      <c r="C8" s="110"/>
      <c r="E8" s="132" t="s">
        <v>172</v>
      </c>
      <c r="G8" s="132" t="s">
        <v>501</v>
      </c>
      <c r="J8" s="116" t="s">
        <v>502</v>
      </c>
      <c r="K8" s="116" t="s">
        <v>503</v>
      </c>
    </row>
    <row r="9" spans="1:7" ht="12.75">
      <c r="A9" s="110" t="s">
        <v>435</v>
      </c>
      <c r="B9" s="110"/>
      <c r="C9" s="110"/>
      <c r="E9" s="121"/>
      <c r="F9" s="110"/>
      <c r="G9" s="121"/>
    </row>
    <row r="10" spans="1:7" ht="12.75">
      <c r="A10" s="110"/>
      <c r="B10" s="110"/>
      <c r="C10" s="110"/>
      <c r="E10" s="121"/>
      <c r="F10" s="110"/>
      <c r="G10" s="121"/>
    </row>
    <row r="11" spans="1:7" ht="12.75">
      <c r="A11" s="110"/>
      <c r="B11" s="110" t="s">
        <v>351</v>
      </c>
      <c r="C11" s="110"/>
      <c r="E11" s="121"/>
      <c r="F11" s="110"/>
      <c r="G11" s="121"/>
    </row>
    <row r="12" spans="1:11" ht="12.75">
      <c r="A12" s="110"/>
      <c r="B12" s="110"/>
      <c r="C12" s="110" t="s">
        <v>422</v>
      </c>
      <c r="E12" s="121">
        <v>20.84</v>
      </c>
      <c r="F12" s="121"/>
      <c r="G12" s="121">
        <f>ROUND(E12*(1+$F$4),2)</f>
        <v>18.89</v>
      </c>
      <c r="J12" s="121">
        <f>+G12*3</f>
        <v>56.67</v>
      </c>
      <c r="K12" s="121">
        <f>+G12*12/52</f>
        <v>4.359230769230769</v>
      </c>
    </row>
    <row r="13" spans="1:11" ht="12.75">
      <c r="A13" s="110"/>
      <c r="B13" s="110"/>
      <c r="C13" s="110" t="s">
        <v>421</v>
      </c>
      <c r="E13" s="121">
        <v>41.68</v>
      </c>
      <c r="F13" s="121"/>
      <c r="G13" s="121">
        <f aca="true" t="shared" si="0" ref="G13:G19">ROUND(E13*(1+$F$4),2)</f>
        <v>37.79</v>
      </c>
      <c r="J13" s="121">
        <f>+G13*3</f>
        <v>113.37</v>
      </c>
      <c r="K13" s="121">
        <f>+G13*12/52</f>
        <v>8.720769230769232</v>
      </c>
    </row>
    <row r="14" spans="1:11" ht="12.75">
      <c r="A14" s="110"/>
      <c r="B14" s="110"/>
      <c r="C14" s="110" t="s">
        <v>423</v>
      </c>
      <c r="E14" s="121">
        <v>62.52</v>
      </c>
      <c r="F14" s="121"/>
      <c r="G14" s="121">
        <f t="shared" si="0"/>
        <v>56.68</v>
      </c>
      <c r="J14" s="121">
        <f>+G14*3</f>
        <v>170.04</v>
      </c>
      <c r="K14" s="121">
        <f>+G14*12/52</f>
        <v>13.08</v>
      </c>
    </row>
    <row r="15" spans="1:11" ht="12.75">
      <c r="A15" s="110"/>
      <c r="B15" s="110"/>
      <c r="C15" s="134" t="s">
        <v>504</v>
      </c>
      <c r="D15" s="195"/>
      <c r="E15" s="136">
        <v>6.01</v>
      </c>
      <c r="F15" s="195"/>
      <c r="G15" s="136">
        <f t="shared" si="0"/>
        <v>5.45</v>
      </c>
      <c r="H15" s="124"/>
      <c r="J15" s="121">
        <f>+G15*3</f>
        <v>16.35</v>
      </c>
      <c r="K15" s="121">
        <f>+G15*12/52</f>
        <v>1.2576923076923079</v>
      </c>
    </row>
    <row r="16" spans="1:11" ht="12.75">
      <c r="A16" s="110"/>
      <c r="B16" s="110" t="s">
        <v>464</v>
      </c>
      <c r="C16" s="110"/>
      <c r="E16" s="121"/>
      <c r="F16" s="110"/>
      <c r="G16" s="121"/>
      <c r="J16" s="121"/>
      <c r="K16" s="121"/>
    </row>
    <row r="17" spans="1:11" ht="12.75">
      <c r="A17" s="110"/>
      <c r="B17" s="110"/>
      <c r="C17" s="110" t="s">
        <v>422</v>
      </c>
      <c r="E17" s="121">
        <v>29.32</v>
      </c>
      <c r="F17" s="121"/>
      <c r="G17" s="121">
        <f t="shared" si="0"/>
        <v>26.58</v>
      </c>
      <c r="J17" s="121">
        <f>+G17*3</f>
        <v>79.74</v>
      </c>
      <c r="K17" s="121">
        <f>+G17*12/52</f>
        <v>6.133846153846154</v>
      </c>
    </row>
    <row r="18" spans="1:11" ht="12.75">
      <c r="A18" s="110"/>
      <c r="B18" s="110"/>
      <c r="C18" s="110" t="s">
        <v>421</v>
      </c>
      <c r="E18" s="121">
        <v>58.64</v>
      </c>
      <c r="F18" s="121"/>
      <c r="G18" s="121">
        <f t="shared" si="0"/>
        <v>53.16</v>
      </c>
      <c r="J18" s="121">
        <f>+G18*3</f>
        <v>159.48</v>
      </c>
      <c r="K18" s="121">
        <f>+G18*12/52</f>
        <v>12.267692307692307</v>
      </c>
    </row>
    <row r="19" spans="1:11" ht="12.75">
      <c r="A19" s="110"/>
      <c r="B19" s="110"/>
      <c r="C19" s="110" t="s">
        <v>423</v>
      </c>
      <c r="E19" s="121">
        <v>87.96</v>
      </c>
      <c r="F19" s="121"/>
      <c r="G19" s="121">
        <f t="shared" si="0"/>
        <v>79.74</v>
      </c>
      <c r="J19" s="121">
        <f>+G19*3</f>
        <v>239.21999999999997</v>
      </c>
      <c r="K19" s="121">
        <f>+G19*12/52</f>
        <v>18.401538461538458</v>
      </c>
    </row>
    <row r="20" spans="1:11" ht="12.75">
      <c r="A20" s="110"/>
      <c r="B20" s="110"/>
      <c r="C20" s="134" t="s">
        <v>504</v>
      </c>
      <c r="D20" s="195"/>
      <c r="E20" s="136">
        <v>8.46</v>
      </c>
      <c r="F20" s="195"/>
      <c r="G20" s="136">
        <f>ROUND(E20*(1+$F$4),2)</f>
        <v>7.67</v>
      </c>
      <c r="H20" s="124"/>
      <c r="J20" s="121">
        <f>+G20*3</f>
        <v>23.009999999999998</v>
      </c>
      <c r="K20" s="121">
        <f>+G20*12/52</f>
        <v>1.7699999999999998</v>
      </c>
    </row>
    <row r="21" spans="1:11" ht="12.75">
      <c r="A21" s="110"/>
      <c r="B21" s="110"/>
      <c r="C21" s="110"/>
      <c r="E21" s="121"/>
      <c r="F21" s="121"/>
      <c r="G21" s="121"/>
      <c r="J21" s="121"/>
      <c r="K21" s="121"/>
    </row>
    <row r="22" spans="2:11" ht="12.75">
      <c r="B22" s="134" t="s">
        <v>506</v>
      </c>
      <c r="C22" s="134"/>
      <c r="D22" s="195"/>
      <c r="E22" s="136">
        <v>62.4</v>
      </c>
      <c r="F22" s="195"/>
      <c r="G22" s="136">
        <f>ROUND(E22*(1+$F$4),2)</f>
        <v>56.57</v>
      </c>
      <c r="J22" s="136">
        <f>+G22*3</f>
        <v>169.71</v>
      </c>
      <c r="K22" s="136">
        <f>+G22*12/52</f>
        <v>13.054615384615385</v>
      </c>
    </row>
    <row r="23" spans="1:11" ht="12.75">
      <c r="A23" s="186"/>
      <c r="B23" s="110"/>
      <c r="C23" s="110"/>
      <c r="D23" s="169"/>
      <c r="E23" s="121"/>
      <c r="F23" s="169"/>
      <c r="G23" s="121"/>
      <c r="J23" s="121"/>
      <c r="K23" s="121"/>
    </row>
    <row r="24" spans="1:11" ht="12.75" customHeight="1" hidden="1">
      <c r="A24" s="227" t="s">
        <v>507</v>
      </c>
      <c r="B24" s="134"/>
      <c r="C24" s="134" t="s">
        <v>422</v>
      </c>
      <c r="D24" s="195"/>
      <c r="E24" s="136">
        <f>+E12+E22</f>
        <v>83.24</v>
      </c>
      <c r="F24" s="195"/>
      <c r="G24" s="136">
        <f>ROUND(E24*(1+$F$4),2)</f>
        <v>75.46</v>
      </c>
      <c r="J24" s="136">
        <f>+G24*3</f>
        <v>226.38</v>
      </c>
      <c r="K24" s="136">
        <f>+G24*12/52</f>
        <v>17.413846153846155</v>
      </c>
    </row>
    <row r="25" spans="1:11" ht="12.75" hidden="1">
      <c r="A25" s="228"/>
      <c r="B25" s="134"/>
      <c r="C25" s="134" t="s">
        <v>421</v>
      </c>
      <c r="D25" s="195"/>
      <c r="E25" s="136">
        <v>104.08</v>
      </c>
      <c r="F25" s="195"/>
      <c r="G25" s="136">
        <f>ROUND(E25*(1+$F$4),2)</f>
        <v>94.36</v>
      </c>
      <c r="J25" s="136">
        <f>+G25*3</f>
        <v>283.08</v>
      </c>
      <c r="K25" s="136">
        <f>+G25*12/52</f>
        <v>21.775384615384613</v>
      </c>
    </row>
    <row r="26" spans="1:11" ht="14.25" customHeight="1" hidden="1">
      <c r="A26" s="228"/>
      <c r="B26" s="134"/>
      <c r="C26" s="134" t="s">
        <v>423</v>
      </c>
      <c r="D26" s="195"/>
      <c r="E26" s="136">
        <v>124.92</v>
      </c>
      <c r="F26" s="195"/>
      <c r="G26" s="136">
        <f>ROUND(E26*(1+$F$4),2)</f>
        <v>113.25</v>
      </c>
      <c r="J26" s="136">
        <f>+G26*3</f>
        <v>339.75</v>
      </c>
      <c r="K26" s="136">
        <f>+G26*12/52</f>
        <v>26.134615384615383</v>
      </c>
    </row>
    <row r="27" spans="1:11" ht="12.75" hidden="1">
      <c r="A27" s="61"/>
      <c r="B27" s="110"/>
      <c r="C27" s="110"/>
      <c r="D27" s="169"/>
      <c r="E27" s="121"/>
      <c r="F27" s="169"/>
      <c r="G27" s="121"/>
      <c r="J27" s="121"/>
      <c r="K27" s="121"/>
    </row>
    <row r="28" spans="2:11" ht="12.75">
      <c r="B28" s="134" t="s">
        <v>552</v>
      </c>
      <c r="C28" s="134"/>
      <c r="D28" s="195"/>
      <c r="E28" s="136">
        <v>86.22</v>
      </c>
      <c r="F28" s="195"/>
      <c r="G28" s="136">
        <f>ROUND(E28*(1+$F$4),2)</f>
        <v>78.16</v>
      </c>
      <c r="H28" s="169"/>
      <c r="I28" s="169"/>
      <c r="J28" s="121"/>
      <c r="K28" s="121"/>
    </row>
    <row r="29" spans="2:11" ht="12.75">
      <c r="B29" s="110"/>
      <c r="C29" s="110"/>
      <c r="D29" s="121"/>
      <c r="E29" s="219"/>
      <c r="F29" s="169"/>
      <c r="G29" s="121"/>
      <c r="H29" s="169"/>
      <c r="I29" s="169"/>
      <c r="J29" s="121"/>
      <c r="K29" s="121"/>
    </row>
    <row r="30" spans="1:11" ht="12.75" hidden="1">
      <c r="A30" s="227" t="s">
        <v>507</v>
      </c>
      <c r="B30" s="187" t="s">
        <v>508</v>
      </c>
      <c r="C30" s="110"/>
      <c r="D30" s="169"/>
      <c r="E30" s="121"/>
      <c r="F30" s="169"/>
      <c r="G30" s="121"/>
      <c r="H30" s="169"/>
      <c r="I30" s="169"/>
      <c r="J30" s="121"/>
      <c r="K30" s="121"/>
    </row>
    <row r="31" spans="1:11" ht="12.75" hidden="1">
      <c r="A31" s="227"/>
      <c r="B31" s="188" t="s">
        <v>509</v>
      </c>
      <c r="C31" s="110"/>
      <c r="D31" s="169"/>
      <c r="E31" s="121"/>
      <c r="F31" s="169"/>
      <c r="G31" s="121"/>
      <c r="H31" s="169"/>
      <c r="I31" s="169"/>
      <c r="J31" s="121"/>
      <c r="K31" s="121"/>
    </row>
    <row r="32" spans="1:11" ht="12.75" hidden="1">
      <c r="A32" s="227"/>
      <c r="B32" s="188" t="s">
        <v>510</v>
      </c>
      <c r="C32" s="110"/>
      <c r="D32" s="169"/>
      <c r="E32" s="121"/>
      <c r="F32" s="169"/>
      <c r="G32" s="121"/>
      <c r="H32" s="169"/>
      <c r="I32" s="169"/>
      <c r="J32" s="121"/>
      <c r="K32" s="121"/>
    </row>
    <row r="33" spans="1:11" ht="12.75" hidden="1">
      <c r="A33" s="227" t="s">
        <v>507</v>
      </c>
      <c r="B33" s="188" t="s">
        <v>511</v>
      </c>
      <c r="C33" s="110"/>
      <c r="D33" s="169"/>
      <c r="E33" s="121"/>
      <c r="F33" s="169"/>
      <c r="G33" s="121"/>
      <c r="H33" s="169"/>
      <c r="I33" s="169"/>
      <c r="J33" s="121"/>
      <c r="K33" s="121"/>
    </row>
    <row r="34" spans="1:11" ht="12.75" hidden="1">
      <c r="A34" s="227"/>
      <c r="B34" s="188" t="s">
        <v>512</v>
      </c>
      <c r="C34" s="110"/>
      <c r="D34" s="169"/>
      <c r="E34" s="121"/>
      <c r="F34" s="169"/>
      <c r="G34" s="121"/>
      <c r="H34" s="169"/>
      <c r="I34" s="169"/>
      <c r="J34" s="121"/>
      <c r="K34" s="121"/>
    </row>
    <row r="35" spans="1:8" ht="12.75" hidden="1">
      <c r="A35" s="227"/>
      <c r="B35" s="189" t="str">
        <f>"7) An IN/OUT CHARGE $"&amp;G28&amp;" applies for changes within 6 months."</f>
        <v>7) An IN/OUT CHARGE $78.16 applies for changes within 6 months.</v>
      </c>
      <c r="C35" s="110"/>
      <c r="D35" s="110"/>
      <c r="E35" s="110"/>
      <c r="F35" s="110"/>
      <c r="G35" s="110"/>
      <c r="H35" s="110"/>
    </row>
    <row r="36" spans="1:9" ht="12.75">
      <c r="A36" s="134"/>
      <c r="B36" s="110" t="s">
        <v>427</v>
      </c>
      <c r="C36" s="110" t="s">
        <v>428</v>
      </c>
      <c r="D36" s="110"/>
      <c r="E36" s="110"/>
      <c r="F36" s="110"/>
      <c r="G36" s="110"/>
      <c r="H36" s="110"/>
      <c r="I36" s="110"/>
    </row>
    <row r="37" spans="1:9" ht="12.75">
      <c r="A37" s="110"/>
      <c r="B37" s="110"/>
      <c r="C37" s="110"/>
      <c r="D37" s="110"/>
      <c r="E37" s="110"/>
      <c r="F37" s="110"/>
      <c r="G37" s="109">
        <v>2007</v>
      </c>
      <c r="H37" s="109"/>
      <c r="I37" s="124"/>
    </row>
    <row r="38" spans="1:9" ht="12.75">
      <c r="A38" s="112" t="s">
        <v>329</v>
      </c>
      <c r="B38" s="113"/>
      <c r="C38" s="113"/>
      <c r="D38" s="113"/>
      <c r="E38" s="110" t="s">
        <v>325</v>
      </c>
      <c r="F38" s="110"/>
      <c r="G38" s="111">
        <f>+'Method - A'!M51</f>
        <v>-0.09343557431526865</v>
      </c>
      <c r="H38" s="111"/>
      <c r="I38" s="137"/>
    </row>
    <row r="39" spans="1:9" ht="12.75">
      <c r="A39" s="110"/>
      <c r="B39" s="110"/>
      <c r="C39" s="110"/>
      <c r="D39" s="124"/>
      <c r="E39" s="110" t="s">
        <v>430</v>
      </c>
      <c r="F39" s="110"/>
      <c r="G39" s="114">
        <v>4.333</v>
      </c>
      <c r="H39" s="110"/>
      <c r="I39" s="110"/>
    </row>
    <row r="40" spans="1:9" ht="12.75">
      <c r="A40" s="115" t="s">
        <v>334</v>
      </c>
      <c r="B40" s="110"/>
      <c r="C40" s="110"/>
      <c r="D40" s="110"/>
      <c r="E40" s="110"/>
      <c r="F40" s="110"/>
      <c r="G40" s="110"/>
      <c r="H40" s="110"/>
      <c r="I40" s="110"/>
    </row>
    <row r="41" spans="1:9" ht="12.75">
      <c r="A41" s="124"/>
      <c r="B41" s="113"/>
      <c r="C41" s="113"/>
      <c r="D41" s="113"/>
      <c r="E41" s="113"/>
      <c r="F41" s="116"/>
      <c r="G41" s="116"/>
      <c r="H41" s="116"/>
      <c r="I41" s="110"/>
    </row>
    <row r="42" spans="1:9" ht="12.75">
      <c r="A42" s="118" t="s">
        <v>337</v>
      </c>
      <c r="B42" s="110"/>
      <c r="C42" s="110"/>
      <c r="D42" s="119" t="str">
        <f>"----------Current Monthly Rate----------"</f>
        <v>----------Current Monthly Rate----------</v>
      </c>
      <c r="E42" s="120"/>
      <c r="F42" s="120"/>
      <c r="G42" s="120"/>
      <c r="H42" s="120"/>
      <c r="I42" s="110"/>
    </row>
    <row r="43" spans="1:9" ht="12.75">
      <c r="A43" s="110" t="s">
        <v>338</v>
      </c>
      <c r="B43" s="110"/>
      <c r="C43" s="110"/>
      <c r="D43" s="122"/>
      <c r="E43" s="116"/>
      <c r="F43" s="116"/>
      <c r="G43" s="116" t="s">
        <v>339</v>
      </c>
      <c r="H43" s="116" t="s">
        <v>339</v>
      </c>
      <c r="I43" s="110"/>
    </row>
    <row r="44" spans="1:9" ht="12.75">
      <c r="A44" s="110" t="s">
        <v>352</v>
      </c>
      <c r="B44" s="110"/>
      <c r="C44" s="110"/>
      <c r="D44" s="122" t="s">
        <v>344</v>
      </c>
      <c r="E44" s="122" t="s">
        <v>345</v>
      </c>
      <c r="F44" s="122" t="s">
        <v>346</v>
      </c>
      <c r="G44" s="122" t="s">
        <v>347</v>
      </c>
      <c r="H44" s="122" t="s">
        <v>348</v>
      </c>
      <c r="I44" s="110"/>
    </row>
    <row r="45" spans="1:9" ht="12.75">
      <c r="A45" s="110"/>
      <c r="B45" s="126">
        <v>1</v>
      </c>
      <c r="C45" s="124"/>
      <c r="D45" s="121">
        <v>269.15</v>
      </c>
      <c r="E45" s="121">
        <v>493.51</v>
      </c>
      <c r="F45" s="121">
        <v>717.86</v>
      </c>
      <c r="G45" s="121">
        <v>64.21</v>
      </c>
      <c r="H45" s="121">
        <v>128.41</v>
      </c>
      <c r="I45" s="110"/>
    </row>
    <row r="46" spans="1:9" ht="12.75">
      <c r="A46" s="110"/>
      <c r="B46" s="126">
        <v>2</v>
      </c>
      <c r="C46" s="124"/>
      <c r="D46" s="121">
        <v>493.51</v>
      </c>
      <c r="E46" s="121">
        <v>942.27</v>
      </c>
      <c r="F46" s="121">
        <v>1390.94</v>
      </c>
      <c r="G46" s="121">
        <v>128.41</v>
      </c>
      <c r="H46" s="121">
        <v>256.83</v>
      </c>
      <c r="I46" s="110"/>
    </row>
    <row r="47" spans="1:9" ht="12.75">
      <c r="A47" s="110"/>
      <c r="B47" s="126">
        <v>3</v>
      </c>
      <c r="C47" s="124"/>
      <c r="D47" s="121">
        <v>717.86</v>
      </c>
      <c r="E47" s="121">
        <v>1390.94</v>
      </c>
      <c r="F47" s="121">
        <v>2064.01</v>
      </c>
      <c r="G47" s="121">
        <v>192.62</v>
      </c>
      <c r="H47" s="121">
        <v>385.24</v>
      </c>
      <c r="I47" s="110"/>
    </row>
    <row r="48" spans="1:9" ht="12.75">
      <c r="A48" s="110"/>
      <c r="B48" s="110" t="s">
        <v>363</v>
      </c>
      <c r="C48" s="124"/>
      <c r="D48" s="121">
        <v>381.36</v>
      </c>
      <c r="E48" s="121">
        <v>762.68</v>
      </c>
      <c r="F48" s="121">
        <v>1144.04</v>
      </c>
      <c r="G48" s="121">
        <v>96.38</v>
      </c>
      <c r="H48" s="121">
        <v>192.76</v>
      </c>
      <c r="I48" s="110"/>
    </row>
    <row r="49" spans="1:9" ht="12.75">
      <c r="A49" s="110"/>
      <c r="B49" s="110" t="s">
        <v>366</v>
      </c>
      <c r="C49" s="124"/>
      <c r="D49" s="121">
        <v>64.73</v>
      </c>
      <c r="E49" s="121">
        <v>116.6</v>
      </c>
      <c r="F49" s="121">
        <v>174.92</v>
      </c>
      <c r="G49" s="121">
        <v>18.54</v>
      </c>
      <c r="H49" s="121">
        <v>37.08</v>
      </c>
      <c r="I49" s="110"/>
    </row>
    <row r="50" spans="1:9" ht="12.75">
      <c r="A50" s="110"/>
      <c r="B50" s="110" t="s">
        <v>370</v>
      </c>
      <c r="C50" s="124"/>
      <c r="D50" s="121">
        <v>110.02</v>
      </c>
      <c r="E50" s="121">
        <v>198.22</v>
      </c>
      <c r="F50" s="121">
        <v>297.31</v>
      </c>
      <c r="G50" s="121">
        <v>27.82</v>
      </c>
      <c r="H50" s="121">
        <v>55.64</v>
      </c>
      <c r="I50" s="110"/>
    </row>
    <row r="51" spans="1:9" ht="12.75">
      <c r="A51" s="110"/>
      <c r="B51" s="110" t="s">
        <v>547</v>
      </c>
      <c r="C51" s="124"/>
      <c r="D51" s="121">
        <v>25.9</v>
      </c>
      <c r="E51" s="121"/>
      <c r="F51" s="121"/>
      <c r="G51" s="121"/>
      <c r="H51" s="121"/>
      <c r="I51" s="110"/>
    </row>
    <row r="52" spans="1:9" ht="12.75">
      <c r="A52" s="110"/>
      <c r="B52" s="110" t="s">
        <v>548</v>
      </c>
      <c r="C52" s="110"/>
      <c r="D52" s="121">
        <v>44.79</v>
      </c>
      <c r="E52" s="121" t="s">
        <v>378</v>
      </c>
      <c r="F52" s="128" t="s">
        <v>378</v>
      </c>
      <c r="G52" s="121" t="s">
        <v>378</v>
      </c>
      <c r="H52" s="121" t="s">
        <v>378</v>
      </c>
      <c r="I52" s="110"/>
    </row>
    <row r="53" spans="1:9" ht="12.75">
      <c r="A53" s="110"/>
      <c r="B53" s="110" t="s">
        <v>381</v>
      </c>
      <c r="C53" s="110"/>
      <c r="D53" s="121">
        <v>20.72</v>
      </c>
      <c r="E53" s="121"/>
      <c r="F53" s="121"/>
      <c r="G53" s="121" t="s">
        <v>378</v>
      </c>
      <c r="H53" s="121" t="s">
        <v>378</v>
      </c>
      <c r="I53" s="110"/>
    </row>
    <row r="54" spans="1:9" ht="12.75">
      <c r="A54" s="110"/>
      <c r="B54" s="110" t="s">
        <v>378</v>
      </c>
      <c r="C54" s="110"/>
      <c r="D54" s="121" t="s">
        <v>378</v>
      </c>
      <c r="E54" s="121"/>
      <c r="F54" s="121"/>
      <c r="G54" s="121"/>
      <c r="H54" s="121"/>
      <c r="I54" s="110"/>
    </row>
    <row r="55" spans="1:9" ht="12.75">
      <c r="A55" s="110" t="s">
        <v>391</v>
      </c>
      <c r="B55" s="110"/>
      <c r="C55" s="110"/>
      <c r="D55" s="122" t="s">
        <v>392</v>
      </c>
      <c r="E55" s="122" t="s">
        <v>357</v>
      </c>
      <c r="F55" s="122" t="s">
        <v>360</v>
      </c>
      <c r="G55" s="122" t="s">
        <v>393</v>
      </c>
      <c r="H55" s="122" t="s">
        <v>436</v>
      </c>
      <c r="I55" s="122" t="s">
        <v>437</v>
      </c>
    </row>
    <row r="56" spans="1:9" ht="12.75">
      <c r="A56" s="110"/>
      <c r="B56" s="110" t="s">
        <v>431</v>
      </c>
      <c r="C56" s="110"/>
      <c r="D56" s="121">
        <v>565.92</v>
      </c>
      <c r="E56" s="121">
        <v>115.49</v>
      </c>
      <c r="F56" s="121">
        <v>227.9</v>
      </c>
      <c r="G56" s="121">
        <v>136.75</v>
      </c>
      <c r="H56" s="121">
        <v>41.63</v>
      </c>
      <c r="I56" s="129">
        <v>11.13</v>
      </c>
    </row>
    <row r="57" spans="1:9" ht="12.75">
      <c r="A57" s="110"/>
      <c r="B57" s="134" t="s">
        <v>434</v>
      </c>
      <c r="C57" s="134"/>
      <c r="D57" s="136">
        <v>777</v>
      </c>
      <c r="E57" s="136">
        <v>115.49</v>
      </c>
      <c r="F57" s="136">
        <v>227.9</v>
      </c>
      <c r="G57" s="136">
        <v>136.75</v>
      </c>
      <c r="H57" s="136">
        <v>41.63</v>
      </c>
      <c r="I57" s="140">
        <v>11.13</v>
      </c>
    </row>
    <row r="58" spans="1:9" ht="12.75">
      <c r="A58" s="110"/>
      <c r="B58" s="110" t="s">
        <v>432</v>
      </c>
      <c r="C58" s="110"/>
      <c r="D58" s="121">
        <v>1060.57</v>
      </c>
      <c r="E58" s="121">
        <v>115.49</v>
      </c>
      <c r="F58" s="121">
        <v>227.9</v>
      </c>
      <c r="G58" s="121">
        <v>136.75</v>
      </c>
      <c r="H58" s="121">
        <v>41.63</v>
      </c>
      <c r="I58" s="129">
        <v>11.13</v>
      </c>
    </row>
    <row r="59" spans="1:9" ht="12.75">
      <c r="A59" s="110"/>
      <c r="B59" s="110"/>
      <c r="C59" s="110"/>
      <c r="D59" s="121"/>
      <c r="E59" s="121"/>
      <c r="F59" s="121"/>
      <c r="G59" s="121"/>
      <c r="H59" s="121"/>
      <c r="I59" s="126"/>
    </row>
    <row r="60" spans="1:9" ht="12.75">
      <c r="A60" s="110" t="s">
        <v>553</v>
      </c>
      <c r="B60" s="110"/>
      <c r="C60" s="110"/>
      <c r="D60" s="121">
        <v>15.42</v>
      </c>
      <c r="E60" s="121"/>
      <c r="F60" s="121" t="s">
        <v>399</v>
      </c>
      <c r="G60" s="121"/>
      <c r="H60" s="121">
        <v>193.93</v>
      </c>
      <c r="I60" s="126"/>
    </row>
    <row r="61" spans="1:9" ht="12.75">
      <c r="A61" s="110" t="s">
        <v>390</v>
      </c>
      <c r="B61" s="110"/>
      <c r="C61" s="110"/>
      <c r="D61" s="121">
        <v>143.22</v>
      </c>
      <c r="E61" s="121"/>
      <c r="F61" s="121" t="s">
        <v>400</v>
      </c>
      <c r="G61" s="121"/>
      <c r="H61" s="121">
        <v>217.04</v>
      </c>
      <c r="I61" s="126"/>
    </row>
    <row r="62" spans="1:9" ht="12.75">
      <c r="A62" s="110" t="s">
        <v>401</v>
      </c>
      <c r="B62" s="110"/>
      <c r="C62" s="110"/>
      <c r="D62" s="121">
        <v>86.22</v>
      </c>
      <c r="E62" s="121"/>
      <c r="F62" s="121" t="s">
        <v>403</v>
      </c>
      <c r="G62" s="121"/>
      <c r="H62" s="121">
        <v>62.4</v>
      </c>
      <c r="I62" s="126"/>
    </row>
    <row r="63" spans="1:9" ht="12.75">
      <c r="A63" s="110"/>
      <c r="B63" s="110"/>
      <c r="C63" s="110"/>
      <c r="D63" s="121"/>
      <c r="E63" s="121"/>
      <c r="F63" s="121"/>
      <c r="G63" s="121"/>
      <c r="H63" s="121"/>
      <c r="I63" s="126"/>
    </row>
    <row r="64" spans="1:9" ht="12.75">
      <c r="A64" s="118"/>
      <c r="B64" s="110"/>
      <c r="C64" s="110"/>
      <c r="D64" s="119" t="str">
        <f>"----------2007 New Monthly Rate----------"</f>
        <v>----------2007 New Monthly Rate----------</v>
      </c>
      <c r="E64" s="120"/>
      <c r="F64" s="120"/>
      <c r="G64" s="120"/>
      <c r="H64" s="120"/>
      <c r="I64" s="126"/>
    </row>
    <row r="65" spans="1:9" ht="12.75">
      <c r="A65" s="110"/>
      <c r="B65" s="110"/>
      <c r="C65" s="110"/>
      <c r="D65" s="122"/>
      <c r="E65" s="116"/>
      <c r="F65" s="116"/>
      <c r="G65" s="116" t="s">
        <v>339</v>
      </c>
      <c r="H65" s="116" t="s">
        <v>339</v>
      </c>
      <c r="I65" s="126"/>
    </row>
    <row r="66" spans="1:9" ht="12.75">
      <c r="A66" s="110" t="s">
        <v>352</v>
      </c>
      <c r="B66" s="110"/>
      <c r="C66" s="110"/>
      <c r="D66" s="122" t="s">
        <v>344</v>
      </c>
      <c r="E66" s="122" t="s">
        <v>345</v>
      </c>
      <c r="F66" s="122" t="s">
        <v>346</v>
      </c>
      <c r="G66" s="122" t="s">
        <v>347</v>
      </c>
      <c r="H66" s="122" t="s">
        <v>348</v>
      </c>
      <c r="I66" s="126"/>
    </row>
    <row r="67" spans="1:9" ht="12.75">
      <c r="A67" s="110"/>
      <c r="B67" s="126">
        <v>1</v>
      </c>
      <c r="C67" s="124"/>
      <c r="D67" s="121">
        <f aca="true" t="shared" si="1" ref="D67:H70">D45*(1+$G$38)</f>
        <v>244.00181517304543</v>
      </c>
      <c r="E67" s="121">
        <f t="shared" si="1"/>
        <v>447.39860971967175</v>
      </c>
      <c r="F67" s="121">
        <f t="shared" si="1"/>
        <v>650.7863386220413</v>
      </c>
      <c r="G67" s="121">
        <f t="shared" si="1"/>
        <v>58.2105017732166</v>
      </c>
      <c r="H67" s="121">
        <f t="shared" si="1"/>
        <v>116.41193790217635</v>
      </c>
      <c r="I67" s="110"/>
    </row>
    <row r="68" spans="1:9" ht="12.75">
      <c r="A68" s="110"/>
      <c r="B68" s="126">
        <v>2</v>
      </c>
      <c r="C68" s="124"/>
      <c r="D68" s="121">
        <f t="shared" si="1"/>
        <v>447.39860971967175</v>
      </c>
      <c r="E68" s="121">
        <f t="shared" si="1"/>
        <v>854.2284613899518</v>
      </c>
      <c r="F68" s="121">
        <f t="shared" si="1"/>
        <v>1260.9767222619203</v>
      </c>
      <c r="G68" s="121">
        <f t="shared" si="1"/>
        <v>116.41193790217635</v>
      </c>
      <c r="H68" s="121">
        <f t="shared" si="1"/>
        <v>232.83294144860955</v>
      </c>
      <c r="I68" s="110"/>
    </row>
    <row r="69" spans="1:9" ht="12.75">
      <c r="A69" s="110"/>
      <c r="B69" s="126">
        <v>3</v>
      </c>
      <c r="C69" s="124"/>
      <c r="D69" s="121">
        <f t="shared" si="1"/>
        <v>650.7863386220413</v>
      </c>
      <c r="E69" s="121">
        <f t="shared" si="1"/>
        <v>1260.9767222619203</v>
      </c>
      <c r="F69" s="121">
        <f t="shared" si="1"/>
        <v>1871.1580402575426</v>
      </c>
      <c r="G69" s="121">
        <f t="shared" si="1"/>
        <v>174.62243967539297</v>
      </c>
      <c r="H69" s="121">
        <f t="shared" si="1"/>
        <v>349.24487935078594</v>
      </c>
      <c r="I69" s="110"/>
    </row>
    <row r="70" spans="1:9" ht="12.75">
      <c r="A70" s="110"/>
      <c r="B70" s="110" t="s">
        <v>363</v>
      </c>
      <c r="C70" s="124"/>
      <c r="D70" s="121">
        <f t="shared" si="1"/>
        <v>345.7274093791292</v>
      </c>
      <c r="E70" s="121">
        <f t="shared" si="1"/>
        <v>691.4185561812309</v>
      </c>
      <c r="F70" s="121">
        <f t="shared" si="1"/>
        <v>1037.14596556036</v>
      </c>
      <c r="G70" s="121">
        <f t="shared" si="1"/>
        <v>87.3746793474944</v>
      </c>
      <c r="H70" s="121">
        <f t="shared" si="1"/>
        <v>174.7493586949888</v>
      </c>
      <c r="I70" s="110"/>
    </row>
    <row r="71" spans="1:9" ht="12.75">
      <c r="A71" s="110"/>
      <c r="B71" s="110" t="s">
        <v>409</v>
      </c>
      <c r="C71" s="124"/>
      <c r="D71" s="121">
        <f aca="true" t="shared" si="2" ref="D71:H72">D49*(1+$G$38)</f>
        <v>58.68191527457267</v>
      </c>
      <c r="E71" s="121">
        <f t="shared" si="2"/>
        <v>105.70541203483967</v>
      </c>
      <c r="F71" s="121">
        <f t="shared" si="2"/>
        <v>158.57624934077322</v>
      </c>
      <c r="G71" s="121">
        <f t="shared" si="2"/>
        <v>16.80770445219492</v>
      </c>
      <c r="H71" s="121">
        <f t="shared" si="2"/>
        <v>33.61540890438984</v>
      </c>
      <c r="I71" s="110"/>
    </row>
    <row r="72" spans="1:9" ht="12.75">
      <c r="A72" s="110"/>
      <c r="B72" s="110" t="s">
        <v>410</v>
      </c>
      <c r="C72" s="124"/>
      <c r="D72" s="121">
        <f t="shared" si="2"/>
        <v>99.74021811383415</v>
      </c>
      <c r="E72" s="121">
        <f t="shared" si="2"/>
        <v>179.69920045922746</v>
      </c>
      <c r="F72" s="121">
        <f t="shared" si="2"/>
        <v>269.5306694003275</v>
      </c>
      <c r="G72" s="121">
        <f t="shared" si="2"/>
        <v>25.22062232254923</v>
      </c>
      <c r="H72" s="121">
        <f t="shared" si="2"/>
        <v>50.44124464509846</v>
      </c>
      <c r="I72" s="110"/>
    </row>
    <row r="73" spans="1:9" ht="12.75">
      <c r="A73" s="110"/>
      <c r="B73" s="110" t="s">
        <v>547</v>
      </c>
      <c r="C73" s="124"/>
      <c r="D73" s="121">
        <f>D51*(1+$G$38)</f>
        <v>23.480018625234543</v>
      </c>
      <c r="E73" s="121"/>
      <c r="F73" s="121"/>
      <c r="G73" s="121"/>
      <c r="H73" s="121"/>
      <c r="I73" s="110"/>
    </row>
    <row r="74" spans="1:9" ht="12.75">
      <c r="A74" s="110"/>
      <c r="B74" s="110" t="s">
        <v>548</v>
      </c>
      <c r="C74" s="110"/>
      <c r="D74" s="121">
        <f>D52*(1+$G$38)</f>
        <v>40.60502062641912</v>
      </c>
      <c r="E74" s="124"/>
      <c r="F74" s="124"/>
      <c r="G74" s="124"/>
      <c r="H74" s="124"/>
      <c r="I74" s="110"/>
    </row>
    <row r="75" spans="1:9" ht="12.75">
      <c r="A75" s="110"/>
      <c r="B75" s="110" t="s">
        <v>381</v>
      </c>
      <c r="C75" s="110"/>
      <c r="D75" s="121">
        <f>D53*(1+$G$38)</f>
        <v>18.784014900187632</v>
      </c>
      <c r="E75" s="124"/>
      <c r="F75" s="124"/>
      <c r="G75" s="124"/>
      <c r="H75" s="124"/>
      <c r="I75" s="110"/>
    </row>
    <row r="76" spans="1:7" ht="12.75">
      <c r="A76" s="124"/>
      <c r="B76" s="124"/>
      <c r="C76" s="124"/>
      <c r="D76" s="124"/>
      <c r="E76" s="124"/>
      <c r="F76" s="124"/>
      <c r="G76" s="124"/>
    </row>
    <row r="77" spans="1:9" ht="12.75">
      <c r="A77" s="110" t="s">
        <v>391</v>
      </c>
      <c r="B77" s="110"/>
      <c r="C77" s="110"/>
      <c r="D77" s="122" t="s">
        <v>392</v>
      </c>
      <c r="E77" s="122" t="s">
        <v>357</v>
      </c>
      <c r="F77" s="122" t="s">
        <v>360</v>
      </c>
      <c r="G77" s="122" t="s">
        <v>393</v>
      </c>
      <c r="H77" s="122" t="s">
        <v>402</v>
      </c>
      <c r="I77" s="122" t="s">
        <v>386</v>
      </c>
    </row>
    <row r="78" spans="1:9" ht="12.75">
      <c r="A78" s="110"/>
      <c r="B78" s="110" t="s">
        <v>431</v>
      </c>
      <c r="C78" s="110"/>
      <c r="D78" s="121">
        <f aca="true" t="shared" si="3" ref="D78:I80">D56*(1+$G$38)</f>
        <v>513.0429397835031</v>
      </c>
      <c r="E78" s="121">
        <f t="shared" si="3"/>
        <v>104.69912552232962</v>
      </c>
      <c r="F78" s="121">
        <f t="shared" si="3"/>
        <v>206.6060326135503</v>
      </c>
      <c r="G78" s="121">
        <f t="shared" si="3"/>
        <v>123.97268521238702</v>
      </c>
      <c r="H78" s="121">
        <f t="shared" si="3"/>
        <v>37.74027704125537</v>
      </c>
      <c r="I78" s="121">
        <f t="shared" si="3"/>
        <v>10.09006205787106</v>
      </c>
    </row>
    <row r="79" spans="1:9" ht="12.75">
      <c r="A79" s="110"/>
      <c r="B79" s="134" t="s">
        <v>434</v>
      </c>
      <c r="C79" s="134"/>
      <c r="D79" s="136">
        <f t="shared" si="3"/>
        <v>704.4005587570363</v>
      </c>
      <c r="E79" s="136">
        <f t="shared" si="3"/>
        <v>104.69912552232962</v>
      </c>
      <c r="F79" s="136">
        <f t="shared" si="3"/>
        <v>206.6060326135503</v>
      </c>
      <c r="G79" s="136">
        <f t="shared" si="3"/>
        <v>123.97268521238702</v>
      </c>
      <c r="H79" s="136">
        <f t="shared" si="3"/>
        <v>37.74027704125537</v>
      </c>
      <c r="I79" s="136">
        <f t="shared" si="3"/>
        <v>10.09006205787106</v>
      </c>
    </row>
    <row r="80" spans="1:9" ht="12.75">
      <c r="A80" s="110"/>
      <c r="B80" s="110" t="s">
        <v>432</v>
      </c>
      <c r="C80" s="110"/>
      <c r="D80" s="121">
        <f t="shared" si="3"/>
        <v>961.4750329484555</v>
      </c>
      <c r="E80" s="121">
        <f t="shared" si="3"/>
        <v>104.69912552232962</v>
      </c>
      <c r="F80" s="121">
        <f t="shared" si="3"/>
        <v>206.6060326135503</v>
      </c>
      <c r="G80" s="121">
        <f t="shared" si="3"/>
        <v>123.97268521238702</v>
      </c>
      <c r="H80" s="121">
        <f t="shared" si="3"/>
        <v>37.74027704125537</v>
      </c>
      <c r="I80" s="121">
        <f t="shared" si="3"/>
        <v>10.09006205787106</v>
      </c>
    </row>
    <row r="81" spans="1:9" ht="12.75">
      <c r="A81" s="110"/>
      <c r="B81" s="110"/>
      <c r="C81" s="110"/>
      <c r="D81" s="121"/>
      <c r="E81" s="121"/>
      <c r="F81" s="121"/>
      <c r="G81" s="121"/>
      <c r="H81" s="121"/>
      <c r="I81" s="110"/>
    </row>
    <row r="82" spans="1:9" ht="12.75">
      <c r="A82" s="110" t="s">
        <v>553</v>
      </c>
      <c r="B82" s="110"/>
      <c r="C82" s="110"/>
      <c r="D82" s="121">
        <f>D60*(1+$G$38)</f>
        <v>13.979223444058558</v>
      </c>
      <c r="E82" s="124"/>
      <c r="F82" s="121" t="s">
        <v>399</v>
      </c>
      <c r="G82" s="121"/>
      <c r="H82" s="121">
        <f>H60*(1+$G$38)</f>
        <v>175.81003907303997</v>
      </c>
      <c r="I82" s="110"/>
    </row>
    <row r="83" spans="1:9" ht="12.75">
      <c r="A83" s="110" t="s">
        <v>390</v>
      </c>
      <c r="B83" s="110"/>
      <c r="C83" s="110"/>
      <c r="D83" s="121">
        <f>D61*(1+$G$38)</f>
        <v>129.83815704656723</v>
      </c>
      <c r="E83" s="124"/>
      <c r="F83" s="121" t="s">
        <v>400</v>
      </c>
      <c r="G83" s="121"/>
      <c r="H83" s="121">
        <f>H61*(1+$G$38)</f>
        <v>196.7607429506141</v>
      </c>
      <c r="I83" s="110"/>
    </row>
    <row r="84" spans="1:9" ht="12.75">
      <c r="A84" s="124" t="s">
        <v>419</v>
      </c>
      <c r="B84" s="124"/>
      <c r="C84" s="124"/>
      <c r="D84" s="121">
        <f>D62*(1+$G$38)</f>
        <v>78.16398478253754</v>
      </c>
      <c r="E84" s="124"/>
      <c r="F84" s="121" t="s">
        <v>403</v>
      </c>
      <c r="G84" s="121"/>
      <c r="H84" s="121">
        <f>H62*(1+$G$38)</f>
        <v>56.56962016272724</v>
      </c>
      <c r="I84" s="110"/>
    </row>
    <row r="85" spans="1:9" ht="12.75">
      <c r="A85" s="110"/>
      <c r="B85" s="110"/>
      <c r="C85" s="110"/>
      <c r="D85" s="121"/>
      <c r="E85" s="121"/>
      <c r="F85" s="124"/>
      <c r="G85" s="124"/>
      <c r="H85" s="124"/>
      <c r="I85" s="126"/>
    </row>
    <row r="86" spans="1:9" ht="12.75">
      <c r="A86" s="110"/>
      <c r="B86" s="110"/>
      <c r="C86" s="110"/>
      <c r="D86" s="121"/>
      <c r="E86" s="121"/>
      <c r="F86" s="124"/>
      <c r="G86" s="124"/>
      <c r="H86" s="124"/>
      <c r="I86" s="126"/>
    </row>
    <row r="87" spans="1:9" ht="12.75">
      <c r="A87" s="110"/>
      <c r="B87" s="110"/>
      <c r="C87" s="110"/>
      <c r="D87" s="111"/>
      <c r="E87" s="110"/>
      <c r="F87" s="124"/>
      <c r="G87" s="124"/>
      <c r="H87" s="124"/>
      <c r="I87" s="126"/>
    </row>
    <row r="88" spans="1:9" ht="12.75">
      <c r="A88" s="134"/>
      <c r="B88" s="110" t="s">
        <v>427</v>
      </c>
      <c r="C88" s="110" t="s">
        <v>428</v>
      </c>
      <c r="D88" s="110"/>
      <c r="E88" s="110"/>
      <c r="F88" s="124"/>
      <c r="G88" s="124"/>
      <c r="H88" s="124"/>
      <c r="I88" s="126"/>
    </row>
    <row r="89" spans="1:9" ht="12.75">
      <c r="A89" s="110"/>
      <c r="B89" s="110"/>
      <c r="C89" s="110"/>
      <c r="D89" s="110"/>
      <c r="E89" s="110"/>
      <c r="F89" s="124"/>
      <c r="G89" s="124"/>
      <c r="H89" s="124"/>
      <c r="I89" s="126"/>
    </row>
    <row r="90" spans="1:9" ht="12.75">
      <c r="A90" s="135"/>
      <c r="B90" s="134"/>
      <c r="C90" s="134"/>
      <c r="D90" s="195"/>
      <c r="E90" s="195"/>
      <c r="F90" s="192"/>
      <c r="G90" s="193">
        <v>2007</v>
      </c>
      <c r="H90" s="135"/>
      <c r="I90" s="126"/>
    </row>
    <row r="91" spans="1:9" ht="12.75">
      <c r="A91" s="134"/>
      <c r="B91" s="134"/>
      <c r="C91" s="134"/>
      <c r="D91" s="195"/>
      <c r="E91" s="195"/>
      <c r="F91" s="134" t="s">
        <v>325</v>
      </c>
      <c r="G91" s="194">
        <f>+'Method - A'!M51</f>
        <v>-0.09343557431526865</v>
      </c>
      <c r="H91" s="135"/>
      <c r="I91" s="110"/>
    </row>
    <row r="92" spans="1:8" ht="12.75">
      <c r="A92" s="195"/>
      <c r="B92" s="192"/>
      <c r="C92" s="192"/>
      <c r="D92" s="195"/>
      <c r="E92" s="195"/>
      <c r="F92" s="134" t="s">
        <v>333</v>
      </c>
      <c r="G92" s="196">
        <v>4.333</v>
      </c>
      <c r="H92" s="135"/>
    </row>
    <row r="93" spans="1:11" ht="12.75">
      <c r="A93" s="197" t="s">
        <v>557</v>
      </c>
      <c r="B93" s="192"/>
      <c r="C93" s="192"/>
      <c r="D93" s="195"/>
      <c r="E93" s="195"/>
      <c r="F93" s="134"/>
      <c r="G93" s="196"/>
      <c r="H93" s="135"/>
      <c r="J93" s="185" t="s">
        <v>499</v>
      </c>
      <c r="K93" s="124"/>
    </row>
    <row r="94" spans="1:11" ht="12.75">
      <c r="A94" s="198" t="s">
        <v>531</v>
      </c>
      <c r="B94" s="134"/>
      <c r="C94" s="134"/>
      <c r="D94" s="195"/>
      <c r="E94" s="195"/>
      <c r="F94" s="222" t="s">
        <v>200</v>
      </c>
      <c r="G94" s="195"/>
      <c r="H94" s="193">
        <v>2007</v>
      </c>
      <c r="J94" s="109">
        <v>2007</v>
      </c>
      <c r="K94" s="109">
        <v>2007</v>
      </c>
    </row>
    <row r="95" spans="1:11" ht="12.75">
      <c r="A95" s="135"/>
      <c r="B95" s="134"/>
      <c r="C95" s="134"/>
      <c r="D95" s="195"/>
      <c r="E95" s="195"/>
      <c r="F95" s="222" t="s">
        <v>170</v>
      </c>
      <c r="G95" s="195"/>
      <c r="H95" s="223" t="s">
        <v>500</v>
      </c>
      <c r="J95" s="184" t="s">
        <v>500</v>
      </c>
      <c r="K95" s="184" t="s">
        <v>500</v>
      </c>
    </row>
    <row r="96" spans="1:11" ht="12.75">
      <c r="A96" s="199" t="s">
        <v>337</v>
      </c>
      <c r="B96" s="134"/>
      <c r="C96" s="135"/>
      <c r="D96" s="195"/>
      <c r="E96" s="195"/>
      <c r="F96" s="222" t="s">
        <v>172</v>
      </c>
      <c r="G96" s="195"/>
      <c r="H96" s="222" t="s">
        <v>501</v>
      </c>
      <c r="J96" s="116" t="s">
        <v>502</v>
      </c>
      <c r="K96" s="116" t="s">
        <v>503</v>
      </c>
    </row>
    <row r="97" spans="1:11" ht="12.75">
      <c r="A97" s="200" t="s">
        <v>524</v>
      </c>
      <c r="B97" s="135"/>
      <c r="C97" s="135"/>
      <c r="D97" s="195"/>
      <c r="E97" s="195"/>
      <c r="F97" s="135"/>
      <c r="G97" s="195"/>
      <c r="H97" s="135"/>
      <c r="J97" s="124"/>
      <c r="K97" s="124"/>
    </row>
    <row r="98" spans="1:11" ht="12.75">
      <c r="A98" s="135"/>
      <c r="B98" s="201" t="s">
        <v>532</v>
      </c>
      <c r="C98" s="135"/>
      <c r="D98" s="195"/>
      <c r="E98" s="195"/>
      <c r="F98" s="202"/>
      <c r="G98" s="195"/>
      <c r="H98" s="135"/>
      <c r="J98" s="121"/>
      <c r="K98" s="121"/>
    </row>
    <row r="99" spans="1:11" ht="12.75">
      <c r="A99" s="135"/>
      <c r="B99" s="135"/>
      <c r="C99" s="203">
        <v>1</v>
      </c>
      <c r="D99" s="195"/>
      <c r="E99" s="195"/>
      <c r="F99" s="204">
        <v>46.89</v>
      </c>
      <c r="G99" s="195"/>
      <c r="H99" s="136">
        <f>+F99*(1+$G$91)</f>
        <v>42.508805920357055</v>
      </c>
      <c r="J99" s="121">
        <f>+H99*3</f>
        <v>127.52641776107117</v>
      </c>
      <c r="K99" s="121">
        <f>+H99*12/52</f>
        <v>9.809724443159322</v>
      </c>
    </row>
    <row r="100" spans="1:11" ht="12.75">
      <c r="A100" s="135"/>
      <c r="B100" s="135"/>
      <c r="C100" s="205">
        <v>2</v>
      </c>
      <c r="D100" s="195"/>
      <c r="E100" s="195"/>
      <c r="F100" s="204">
        <f>+F99*2</f>
        <v>93.78</v>
      </c>
      <c r="G100" s="195"/>
      <c r="H100" s="136">
        <f>+F100*(1+$G$91)</f>
        <v>85.01761184071411</v>
      </c>
      <c r="J100" s="121">
        <f>+H100*3</f>
        <v>255.05283552214235</v>
      </c>
      <c r="K100" s="121">
        <f>+H100*12/52</f>
        <v>19.619448886318644</v>
      </c>
    </row>
    <row r="101" spans="1:11" ht="12.75">
      <c r="A101" s="135"/>
      <c r="B101" s="135"/>
      <c r="C101" s="205">
        <v>3</v>
      </c>
      <c r="D101" s="195"/>
      <c r="E101" s="195"/>
      <c r="F101" s="204">
        <f>+F99*3</f>
        <v>140.67000000000002</v>
      </c>
      <c r="G101" s="195"/>
      <c r="H101" s="136">
        <f>+F101*(1+$G$91)</f>
        <v>127.52641776107117</v>
      </c>
      <c r="J101" s="121">
        <f>+H101*3</f>
        <v>382.5792532832135</v>
      </c>
      <c r="K101" s="121">
        <f>+H101*12/52</f>
        <v>29.429173329477962</v>
      </c>
    </row>
    <row r="102" spans="1:11" ht="12.75">
      <c r="A102" s="135"/>
      <c r="B102" s="135"/>
      <c r="C102" s="205">
        <v>4</v>
      </c>
      <c r="D102" s="195"/>
      <c r="E102" s="195"/>
      <c r="F102" s="204">
        <f>+F99*4</f>
        <v>187.56</v>
      </c>
      <c r="G102" s="195"/>
      <c r="H102" s="136">
        <f>+F102*(1+$G$91)</f>
        <v>170.03522368142822</v>
      </c>
      <c r="J102" s="121">
        <f>+H102*3</f>
        <v>510.1056710442847</v>
      </c>
      <c r="K102" s="121">
        <f>+H102*12/52</f>
        <v>39.23889777263729</v>
      </c>
    </row>
    <row r="103" spans="1:8" ht="12.75">
      <c r="A103" s="135"/>
      <c r="B103" s="135"/>
      <c r="C103" s="205"/>
      <c r="D103" s="195"/>
      <c r="E103" s="195"/>
      <c r="F103" s="206"/>
      <c r="G103" s="135"/>
      <c r="H103" s="135"/>
    </row>
    <row r="104" spans="1:8" ht="12.75">
      <c r="A104" s="135"/>
      <c r="B104" s="135"/>
      <c r="C104" s="205"/>
      <c r="D104" s="195"/>
      <c r="E104" s="195"/>
      <c r="F104" s="206"/>
      <c r="G104" s="135"/>
      <c r="H104" s="135"/>
    </row>
    <row r="105" spans="1:8" ht="12.75">
      <c r="A105" s="135"/>
      <c r="B105" s="135"/>
      <c r="C105" s="205"/>
      <c r="D105" s="195"/>
      <c r="E105" s="195"/>
      <c r="F105" s="225" t="s">
        <v>533</v>
      </c>
      <c r="G105" s="225"/>
      <c r="H105" s="225"/>
    </row>
    <row r="106" spans="1:8" ht="12.75">
      <c r="A106" s="195"/>
      <c r="B106" s="135"/>
      <c r="C106" s="135"/>
      <c r="D106" s="195"/>
      <c r="E106" s="195"/>
      <c r="F106" s="207" t="s">
        <v>514</v>
      </c>
      <c r="G106" s="207" t="s">
        <v>515</v>
      </c>
      <c r="H106" s="207" t="s">
        <v>516</v>
      </c>
    </row>
    <row r="107" spans="1:8" ht="12.75">
      <c r="A107" s="201" t="s">
        <v>513</v>
      </c>
      <c r="B107" s="135"/>
      <c r="C107" s="195"/>
      <c r="D107" s="195"/>
      <c r="E107" s="195"/>
      <c r="F107" s="208" t="s">
        <v>535</v>
      </c>
      <c r="G107" s="208" t="s">
        <v>536</v>
      </c>
      <c r="H107" s="208" t="s">
        <v>537</v>
      </c>
    </row>
    <row r="108" spans="1:8" ht="12.75">
      <c r="A108" s="135"/>
      <c r="B108" s="135"/>
      <c r="C108" s="205" t="s">
        <v>517</v>
      </c>
      <c r="D108" s="195"/>
      <c r="E108" s="195"/>
      <c r="F108" s="204">
        <v>201.87</v>
      </c>
      <c r="G108" s="204">
        <v>370.13</v>
      </c>
      <c r="H108" s="204">
        <v>538.4</v>
      </c>
    </row>
    <row r="109" spans="1:8" ht="12.75">
      <c r="A109" s="135"/>
      <c r="B109" s="135"/>
      <c r="C109" s="205" t="s">
        <v>518</v>
      </c>
      <c r="D109" s="195"/>
      <c r="E109" s="195"/>
      <c r="F109" s="204">
        <v>358.95</v>
      </c>
      <c r="G109" s="204">
        <v>695.47</v>
      </c>
      <c r="H109" s="204">
        <v>1032.01</v>
      </c>
    </row>
    <row r="110" spans="1:8" ht="12.75">
      <c r="A110" s="135"/>
      <c r="B110" s="135"/>
      <c r="C110" s="135"/>
      <c r="D110" s="195"/>
      <c r="E110" s="195"/>
      <c r="F110" s="135"/>
      <c r="G110" s="135"/>
      <c r="H110" s="135"/>
    </row>
    <row r="111" spans="1:8" ht="12.75">
      <c r="A111" s="135"/>
      <c r="B111" s="135"/>
      <c r="C111" s="135"/>
      <c r="D111" s="195"/>
      <c r="E111" s="195"/>
      <c r="F111" s="226" t="s">
        <v>534</v>
      </c>
      <c r="G111" s="226"/>
      <c r="H111" s="226"/>
    </row>
    <row r="112" spans="1:8" ht="12.75">
      <c r="A112" s="135"/>
      <c r="B112" s="135"/>
      <c r="C112" s="205" t="s">
        <v>517</v>
      </c>
      <c r="D112" s="195"/>
      <c r="E112" s="195"/>
      <c r="F112" s="136">
        <f aca="true" t="shared" si="4" ref="F112:H113">+F108*(1+$G$91)</f>
        <v>183.00816061297672</v>
      </c>
      <c r="G112" s="136">
        <f t="shared" si="4"/>
        <v>335.5466908786896</v>
      </c>
      <c r="H112" s="136">
        <f t="shared" si="4"/>
        <v>488.09428678865936</v>
      </c>
    </row>
    <row r="113" spans="1:8" ht="12.75">
      <c r="A113" s="135"/>
      <c r="B113" s="135"/>
      <c r="C113" s="205" t="s">
        <v>518</v>
      </c>
      <c r="D113" s="195"/>
      <c r="E113" s="195"/>
      <c r="F113" s="136">
        <f t="shared" si="4"/>
        <v>325.41130059953434</v>
      </c>
      <c r="G113" s="136">
        <f t="shared" si="4"/>
        <v>630.4883611309601</v>
      </c>
      <c r="H113" s="136">
        <f t="shared" si="4"/>
        <v>935.5835529508996</v>
      </c>
    </row>
    <row r="114" spans="1:8" ht="12.75">
      <c r="A114" s="135"/>
      <c r="B114" s="135"/>
      <c r="C114" s="135"/>
      <c r="D114" s="195"/>
      <c r="E114" s="195"/>
      <c r="F114" s="135"/>
      <c r="G114" s="135"/>
      <c r="H114" s="135"/>
    </row>
    <row r="115" spans="1:8" ht="12.75">
      <c r="A115" s="135"/>
      <c r="B115" s="135"/>
      <c r="C115" s="135"/>
      <c r="D115" s="195"/>
      <c r="E115" s="195"/>
      <c r="F115" s="225" t="s">
        <v>533</v>
      </c>
      <c r="G115" s="225"/>
      <c r="H115" s="225"/>
    </row>
    <row r="116" spans="1:8" ht="12.75">
      <c r="A116" s="135"/>
      <c r="B116" s="135"/>
      <c r="C116" s="135"/>
      <c r="D116" s="195"/>
      <c r="E116" s="195"/>
      <c r="F116" s="209" t="s">
        <v>520</v>
      </c>
      <c r="G116" s="209" t="s">
        <v>521</v>
      </c>
      <c r="H116" s="209" t="s">
        <v>522</v>
      </c>
    </row>
    <row r="117" spans="1:8" ht="15">
      <c r="A117" s="210" t="s">
        <v>519</v>
      </c>
      <c r="B117" s="135"/>
      <c r="C117" s="135"/>
      <c r="D117" s="195"/>
      <c r="E117" s="195"/>
      <c r="F117" s="211" t="s">
        <v>538</v>
      </c>
      <c r="G117" s="211" t="s">
        <v>523</v>
      </c>
      <c r="H117" s="211" t="s">
        <v>539</v>
      </c>
    </row>
    <row r="118" spans="1:8" ht="12.75">
      <c r="A118" s="135"/>
      <c r="B118" s="135"/>
      <c r="C118" s="205" t="s">
        <v>517</v>
      </c>
      <c r="D118" s="195"/>
      <c r="E118" s="195"/>
      <c r="F118" s="204">
        <v>183.03</v>
      </c>
      <c r="G118" s="204">
        <v>335.59</v>
      </c>
      <c r="H118" s="204">
        <v>488.16</v>
      </c>
    </row>
    <row r="119" spans="1:8" ht="12.75">
      <c r="A119" s="135"/>
      <c r="B119" s="135"/>
      <c r="C119" s="205" t="s">
        <v>518</v>
      </c>
      <c r="D119" s="195"/>
      <c r="E119" s="195"/>
      <c r="F119" s="204">
        <v>321.27</v>
      </c>
      <c r="G119" s="204">
        <v>626.39</v>
      </c>
      <c r="H119" s="212">
        <v>931.53</v>
      </c>
    </row>
    <row r="120" spans="1:8" ht="12.75">
      <c r="A120" s="135"/>
      <c r="B120" s="135"/>
      <c r="C120" s="135"/>
      <c r="D120" s="195"/>
      <c r="E120" s="195"/>
      <c r="F120" s="135"/>
      <c r="G120" s="135"/>
      <c r="H120" s="135"/>
    </row>
    <row r="121" spans="1:8" ht="12.75">
      <c r="A121" s="135"/>
      <c r="B121" s="135"/>
      <c r="C121" s="135"/>
      <c r="D121" s="195"/>
      <c r="E121" s="195"/>
      <c r="F121" s="226" t="s">
        <v>534</v>
      </c>
      <c r="G121" s="226"/>
      <c r="H121" s="226"/>
    </row>
    <row r="122" spans="1:8" ht="12.75">
      <c r="A122" s="135"/>
      <c r="B122" s="135"/>
      <c r="C122" s="205" t="s">
        <v>517</v>
      </c>
      <c r="D122" s="195"/>
      <c r="E122" s="195"/>
      <c r="F122" s="136">
        <f aca="true" t="shared" si="5" ref="F122:H123">+F118*(1+$G$91)</f>
        <v>165.9284868330764</v>
      </c>
      <c r="G122" s="136">
        <f t="shared" si="5"/>
        <v>304.233955615539</v>
      </c>
      <c r="H122" s="136">
        <f t="shared" si="5"/>
        <v>442.5484900422585</v>
      </c>
    </row>
    <row r="123" spans="1:8" ht="12.75">
      <c r="A123" s="135"/>
      <c r="B123" s="135"/>
      <c r="C123" s="205" t="s">
        <v>518</v>
      </c>
      <c r="D123" s="195"/>
      <c r="E123" s="195"/>
      <c r="F123" s="136">
        <f t="shared" si="5"/>
        <v>291.2519530397336</v>
      </c>
      <c r="G123" s="136">
        <f t="shared" si="5"/>
        <v>567.8628906046589</v>
      </c>
      <c r="H123" s="136">
        <f t="shared" si="5"/>
        <v>844.4919594580978</v>
      </c>
    </row>
    <row r="124" spans="1:8" ht="12.75">
      <c r="A124" s="124"/>
      <c r="B124" s="124"/>
      <c r="C124" s="191"/>
      <c r="D124" s="121"/>
      <c r="E124" s="121"/>
      <c r="F124" s="121"/>
      <c r="G124" s="124"/>
      <c r="H124" s="124"/>
    </row>
    <row r="125" spans="1:8" ht="12.75" hidden="1">
      <c r="A125" s="169"/>
      <c r="B125" s="213" t="s">
        <v>508</v>
      </c>
      <c r="C125" s="191"/>
      <c r="D125" s="121"/>
      <c r="E125" s="121"/>
      <c r="F125" s="121"/>
      <c r="G125" s="124"/>
      <c r="H125" s="124"/>
    </row>
    <row r="126" spans="1:8" ht="12.75" hidden="1">
      <c r="A126" s="227" t="s">
        <v>507</v>
      </c>
      <c r="B126" s="214" t="s">
        <v>525</v>
      </c>
      <c r="C126" s="191"/>
      <c r="D126" s="121"/>
      <c r="E126" s="121"/>
      <c r="F126" s="121"/>
      <c r="G126" s="124"/>
      <c r="H126" s="124"/>
    </row>
    <row r="127" spans="1:8" ht="12.75" hidden="1">
      <c r="A127" s="227"/>
      <c r="B127" s="215" t="s">
        <v>526</v>
      </c>
      <c r="C127" s="191"/>
      <c r="D127" s="121"/>
      <c r="E127" s="121"/>
      <c r="F127" s="121"/>
      <c r="G127" s="124"/>
      <c r="H127" s="124"/>
    </row>
    <row r="128" spans="1:8" ht="12.75" hidden="1">
      <c r="A128" s="227"/>
      <c r="B128" s="191" t="s">
        <v>527</v>
      </c>
      <c r="C128" s="191"/>
      <c r="D128" s="121"/>
      <c r="E128" s="121"/>
      <c r="F128" s="121"/>
      <c r="G128" s="124"/>
      <c r="H128" s="124"/>
    </row>
    <row r="129" spans="1:8" ht="12.75" hidden="1">
      <c r="A129" s="227" t="s">
        <v>507</v>
      </c>
      <c r="B129" s="191" t="s">
        <v>528</v>
      </c>
      <c r="C129" s="191"/>
      <c r="D129" s="121"/>
      <c r="E129" s="121"/>
      <c r="F129" s="121"/>
      <c r="G129" s="124"/>
      <c r="H129" s="124"/>
    </row>
    <row r="130" spans="1:8" ht="12.75" hidden="1">
      <c r="A130" s="227"/>
      <c r="B130" s="191" t="s">
        <v>529</v>
      </c>
      <c r="C130" s="191"/>
      <c r="D130" s="121"/>
      <c r="E130" s="121"/>
      <c r="F130" s="121"/>
      <c r="G130" s="124"/>
      <c r="H130" s="124"/>
    </row>
    <row r="131" spans="1:8" ht="12.75" hidden="1">
      <c r="A131" s="227"/>
      <c r="B131" s="188" t="s">
        <v>530</v>
      </c>
      <c r="C131" s="191"/>
      <c r="D131" s="121"/>
      <c r="E131" s="121"/>
      <c r="F131" s="121"/>
      <c r="G131" s="124"/>
      <c r="H131" s="124"/>
    </row>
    <row r="132" spans="1:8" ht="12.75">
      <c r="A132" s="200" t="s">
        <v>559</v>
      </c>
      <c r="B132" s="135"/>
      <c r="C132" s="135"/>
      <c r="D132" s="225" t="s">
        <v>533</v>
      </c>
      <c r="E132" s="225"/>
      <c r="F132" s="225"/>
      <c r="G132" s="124"/>
      <c r="H132" s="124"/>
    </row>
    <row r="133" spans="1:8" ht="12.75">
      <c r="A133" s="135"/>
      <c r="B133" s="135" t="s">
        <v>560</v>
      </c>
      <c r="C133" s="135"/>
      <c r="D133" s="135" t="s">
        <v>561</v>
      </c>
      <c r="E133" s="135"/>
      <c r="F133" s="136">
        <v>217</v>
      </c>
      <c r="G133" s="124"/>
      <c r="H133" s="124"/>
    </row>
    <row r="134" spans="1:6" ht="12.75">
      <c r="A134" s="135"/>
      <c r="B134" s="135" t="s">
        <v>562</v>
      </c>
      <c r="C134" s="135"/>
      <c r="D134" s="135" t="s">
        <v>564</v>
      </c>
      <c r="E134" s="135"/>
      <c r="F134" s="136">
        <v>60</v>
      </c>
    </row>
    <row r="135" spans="1:6" ht="12.75">
      <c r="A135" s="135"/>
      <c r="B135" s="135" t="s">
        <v>563</v>
      </c>
      <c r="C135" s="135"/>
      <c r="D135" s="135" t="s">
        <v>564</v>
      </c>
      <c r="E135" s="135"/>
      <c r="F135" s="136">
        <v>5</v>
      </c>
    </row>
    <row r="136" spans="1:6" ht="12.75">
      <c r="A136" s="135"/>
      <c r="B136" s="135"/>
      <c r="C136" s="135"/>
      <c r="D136" s="135"/>
      <c r="E136" s="135"/>
      <c r="F136" s="135"/>
    </row>
    <row r="137" spans="1:6" ht="12.75">
      <c r="A137" s="135"/>
      <c r="B137" s="135"/>
      <c r="C137" s="135"/>
      <c r="D137" s="226" t="s">
        <v>534</v>
      </c>
      <c r="E137" s="226"/>
      <c r="F137" s="226"/>
    </row>
    <row r="138" spans="1:6" ht="12.75">
      <c r="A138" s="135"/>
      <c r="B138" s="135" t="s">
        <v>560</v>
      </c>
      <c r="C138" s="135"/>
      <c r="D138" s="135" t="s">
        <v>561</v>
      </c>
      <c r="E138" s="135"/>
      <c r="F138" s="136">
        <f>+F133*(1+$G$91)</f>
        <v>196.72448037358672</v>
      </c>
    </row>
    <row r="139" spans="1:6" ht="12.75">
      <c r="A139" s="135"/>
      <c r="B139" s="135" t="s">
        <v>562</v>
      </c>
      <c r="C139" s="135"/>
      <c r="D139" s="135" t="s">
        <v>564</v>
      </c>
      <c r="E139" s="135"/>
      <c r="F139" s="136">
        <f>+F134*(1+$G$91)</f>
        <v>54.39386554108388</v>
      </c>
    </row>
    <row r="140" spans="1:6" ht="12.75">
      <c r="A140" s="135"/>
      <c r="B140" s="135" t="s">
        <v>563</v>
      </c>
      <c r="C140" s="135"/>
      <c r="D140" s="135" t="s">
        <v>564</v>
      </c>
      <c r="E140" s="135"/>
      <c r="F140" s="136">
        <f>+F135*(1+$G$91)</f>
        <v>4.532822128423657</v>
      </c>
    </row>
  </sheetData>
  <mergeCells count="11">
    <mergeCell ref="A30:A32"/>
    <mergeCell ref="A33:A35"/>
    <mergeCell ref="A24:A26"/>
    <mergeCell ref="A129:A131"/>
    <mergeCell ref="A126:A128"/>
    <mergeCell ref="D132:F132"/>
    <mergeCell ref="D137:F137"/>
    <mergeCell ref="F105:H105"/>
    <mergeCell ref="F111:H111"/>
    <mergeCell ref="F115:H115"/>
    <mergeCell ref="F121:H121"/>
  </mergeCells>
  <printOptions/>
  <pageMargins left="0.75" right="0.75" top="1" bottom="1" header="0.5" footer="0.5"/>
  <pageSetup cellComments="asDisplayed" horizontalDpi="300" verticalDpi="300" orientation="portrait" r:id="rId1"/>
  <rowBreaks count="2" manualBreakCount="2">
    <brk id="35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3"/>
  <sheetViews>
    <sheetView view="pageBreakPreview" zoomScaleSheetLayoutView="100" workbookViewId="0" topLeftCell="A108">
      <selection activeCell="E120" sqref="E120:F120"/>
    </sheetView>
  </sheetViews>
  <sheetFormatPr defaultColWidth="9.140625" defaultRowHeight="12.75"/>
  <cols>
    <col min="1" max="1" width="5.28125" style="34" customWidth="1"/>
    <col min="2" max="2" width="9.140625" style="34" customWidth="1"/>
    <col min="3" max="3" width="14.57421875" style="34" customWidth="1"/>
    <col min="4" max="9" width="9.140625" style="34" customWidth="1"/>
    <col min="10" max="12" width="0" style="34" hidden="1" customWidth="1"/>
    <col min="13" max="16384" width="9.140625" style="34" customWidth="1"/>
  </cols>
  <sheetData>
    <row r="1" spans="1:9" ht="12.75">
      <c r="A1" s="110"/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0"/>
      <c r="B2" s="110"/>
      <c r="C2" s="110"/>
      <c r="D2" s="110"/>
      <c r="E2" s="110"/>
      <c r="F2" s="110"/>
      <c r="G2" s="109">
        <v>2007</v>
      </c>
      <c r="H2" s="109"/>
      <c r="I2" s="110"/>
    </row>
    <row r="3" spans="1:9" ht="12.75">
      <c r="A3" s="112" t="s">
        <v>330</v>
      </c>
      <c r="B3" s="113"/>
      <c r="C3" s="113"/>
      <c r="D3" s="113"/>
      <c r="E3" s="110" t="s">
        <v>325</v>
      </c>
      <c r="F3" s="110"/>
      <c r="G3" s="111">
        <f>+'Method - A'!M51</f>
        <v>-0.09343557431526865</v>
      </c>
      <c r="H3" s="111"/>
      <c r="I3" s="113"/>
    </row>
    <row r="4" spans="1:9" ht="12.75">
      <c r="A4" s="110"/>
      <c r="B4" s="110"/>
      <c r="C4" s="110"/>
      <c r="D4" s="124"/>
      <c r="E4" s="110" t="s">
        <v>430</v>
      </c>
      <c r="F4" s="110"/>
      <c r="G4" s="114">
        <v>4.333</v>
      </c>
      <c r="H4" s="110"/>
      <c r="I4" s="111"/>
    </row>
    <row r="5" spans="1:9" ht="12.75">
      <c r="A5" s="115" t="s">
        <v>335</v>
      </c>
      <c r="B5" s="110"/>
      <c r="C5" s="110"/>
      <c r="D5" s="110"/>
      <c r="E5" s="110"/>
      <c r="F5" s="110"/>
      <c r="G5" s="110"/>
      <c r="H5" s="110"/>
      <c r="I5" s="110"/>
    </row>
    <row r="6" spans="1:9" ht="12.75">
      <c r="A6" s="124"/>
      <c r="B6" s="113"/>
      <c r="C6" s="113"/>
      <c r="D6" s="113"/>
      <c r="E6" s="113"/>
      <c r="F6" s="116"/>
      <c r="G6" s="116"/>
      <c r="H6" s="116"/>
      <c r="I6" s="116"/>
    </row>
    <row r="7" spans="1:9" ht="12.75">
      <c r="A7" s="118" t="s">
        <v>337</v>
      </c>
      <c r="B7" s="110"/>
      <c r="C7" s="110"/>
      <c r="D7" s="229" t="str">
        <f>"----------Current Monthly Rate----------"</f>
        <v>----------Current Monthly Rate----------</v>
      </c>
      <c r="E7" s="229"/>
      <c r="F7" s="229"/>
      <c r="G7" s="229"/>
      <c r="H7" s="120"/>
      <c r="I7" s="120"/>
    </row>
    <row r="8" spans="1:9" ht="12.75">
      <c r="A8" s="110" t="s">
        <v>340</v>
      </c>
      <c r="B8" s="110"/>
      <c r="C8" s="110"/>
      <c r="D8" s="122"/>
      <c r="E8" s="116"/>
      <c r="F8" s="116"/>
      <c r="G8" s="116"/>
      <c r="H8" s="116"/>
      <c r="I8" s="116"/>
    </row>
    <row r="9" spans="1:8" ht="12.75">
      <c r="A9" s="118" t="s">
        <v>438</v>
      </c>
      <c r="B9" s="110"/>
      <c r="C9" s="110"/>
      <c r="D9" s="116" t="s">
        <v>422</v>
      </c>
      <c r="E9" s="116" t="s">
        <v>421</v>
      </c>
      <c r="F9" s="116" t="s">
        <v>423</v>
      </c>
      <c r="G9" s="122" t="s">
        <v>349</v>
      </c>
      <c r="H9" s="110"/>
    </row>
    <row r="10" spans="1:8" ht="12.75">
      <c r="A10" s="110" t="s">
        <v>343</v>
      </c>
      <c r="B10" s="110"/>
      <c r="C10" s="124"/>
      <c r="D10" s="121">
        <v>27.69</v>
      </c>
      <c r="E10" s="121">
        <v>55.38</v>
      </c>
      <c r="F10" s="121">
        <v>83.07</v>
      </c>
      <c r="G10" s="121">
        <v>7.99</v>
      </c>
      <c r="H10" s="110"/>
    </row>
    <row r="11" spans="1:8" ht="12.75">
      <c r="A11" s="110" t="s">
        <v>355</v>
      </c>
      <c r="B11" s="126"/>
      <c r="C11" s="124"/>
      <c r="D11" s="121">
        <v>29.04</v>
      </c>
      <c r="E11" s="121">
        <v>58.08</v>
      </c>
      <c r="F11" s="121">
        <v>87.12</v>
      </c>
      <c r="G11" s="121">
        <v>8.38</v>
      </c>
      <c r="H11" s="110"/>
    </row>
    <row r="12" spans="1:8" ht="12.75">
      <c r="A12" s="110" t="s">
        <v>358</v>
      </c>
      <c r="B12" s="126"/>
      <c r="C12" s="124"/>
      <c r="D12" s="121">
        <v>30.38</v>
      </c>
      <c r="E12" s="121">
        <v>60.76</v>
      </c>
      <c r="F12" s="121">
        <v>91.14</v>
      </c>
      <c r="G12" s="121">
        <v>8.76</v>
      </c>
      <c r="H12" s="110"/>
    </row>
    <row r="13" spans="1:8" ht="12.75">
      <c r="A13" s="110" t="s">
        <v>361</v>
      </c>
      <c r="B13" s="126"/>
      <c r="C13" s="124"/>
      <c r="D13" s="121">
        <v>33.41</v>
      </c>
      <c r="E13" s="121">
        <v>66.82</v>
      </c>
      <c r="F13" s="121">
        <v>100.23</v>
      </c>
      <c r="G13" s="121">
        <v>9.64</v>
      </c>
      <c r="H13" s="110"/>
    </row>
    <row r="14" spans="1:8" ht="12.75">
      <c r="A14" s="110" t="s">
        <v>364</v>
      </c>
      <c r="B14" s="110"/>
      <c r="C14" s="124"/>
      <c r="D14" s="121">
        <v>36.45</v>
      </c>
      <c r="E14" s="121">
        <v>72.9</v>
      </c>
      <c r="F14" s="121">
        <v>109.35</v>
      </c>
      <c r="G14" s="121">
        <v>10.52</v>
      </c>
      <c r="H14" s="110"/>
    </row>
    <row r="15" spans="1:8" ht="12.75">
      <c r="A15" s="110" t="s">
        <v>367</v>
      </c>
      <c r="B15" s="110"/>
      <c r="C15" s="124"/>
      <c r="D15" s="121">
        <v>40.51</v>
      </c>
      <c r="E15" s="121">
        <v>81.02</v>
      </c>
      <c r="F15" s="121">
        <v>121.53</v>
      </c>
      <c r="G15" s="121">
        <v>11.69</v>
      </c>
      <c r="H15" s="110"/>
    </row>
    <row r="16" spans="1:8" ht="12.75">
      <c r="A16" s="110" t="s">
        <v>371</v>
      </c>
      <c r="B16" s="110"/>
      <c r="C16" s="124"/>
      <c r="D16" s="121">
        <v>45.01</v>
      </c>
      <c r="E16" s="121">
        <v>90.02</v>
      </c>
      <c r="F16" s="121">
        <v>135.03</v>
      </c>
      <c r="G16" s="121">
        <v>12.98</v>
      </c>
      <c r="H16" s="110"/>
    </row>
    <row r="17" spans="1:9" ht="12.75">
      <c r="A17" s="110" t="s">
        <v>374</v>
      </c>
      <c r="B17" s="110"/>
      <c r="C17" s="124"/>
      <c r="D17" s="231" t="s">
        <v>375</v>
      </c>
      <c r="E17" s="231"/>
      <c r="F17" s="231"/>
      <c r="G17" s="231"/>
      <c r="H17" s="127"/>
      <c r="I17" s="127"/>
    </row>
    <row r="18" spans="1:9" ht="12.75">
      <c r="A18" s="110"/>
      <c r="B18" s="110"/>
      <c r="C18" s="110"/>
      <c r="D18" s="121"/>
      <c r="E18" s="121"/>
      <c r="F18" s="121"/>
      <c r="G18" s="121"/>
      <c r="H18" s="121"/>
      <c r="I18" s="121"/>
    </row>
    <row r="19" spans="1:9" ht="12.75">
      <c r="A19" s="110" t="s">
        <v>387</v>
      </c>
      <c r="B19" s="110"/>
      <c r="C19" s="110"/>
      <c r="D19" s="121" t="s">
        <v>388</v>
      </c>
      <c r="E19" s="121">
        <v>193.93</v>
      </c>
      <c r="F19" s="121"/>
      <c r="G19" s="121" t="s">
        <v>389</v>
      </c>
      <c r="H19" s="121">
        <v>217.02</v>
      </c>
      <c r="I19" s="121"/>
    </row>
    <row r="20" spans="1:9" ht="12.75">
      <c r="A20" s="110"/>
      <c r="B20" s="110"/>
      <c r="C20" s="110"/>
      <c r="D20" s="121"/>
      <c r="E20" s="122"/>
      <c r="F20" s="130"/>
      <c r="G20" s="122"/>
      <c r="H20" s="122"/>
      <c r="I20" s="121"/>
    </row>
    <row r="21" spans="1:9" ht="12.75">
      <c r="A21" s="110"/>
      <c r="B21" s="110"/>
      <c r="C21" s="110"/>
      <c r="D21" s="121"/>
      <c r="E21" s="121"/>
      <c r="F21" s="121"/>
      <c r="G21" s="121"/>
      <c r="H21" s="121"/>
      <c r="I21" s="124"/>
    </row>
    <row r="22" spans="1:9" ht="12.75">
      <c r="A22" s="124"/>
      <c r="B22" s="124"/>
      <c r="C22" s="124"/>
      <c r="D22" s="124"/>
      <c r="E22" s="121"/>
      <c r="F22" s="131"/>
      <c r="G22" s="127"/>
      <c r="H22" s="121"/>
      <c r="I22" s="124"/>
    </row>
    <row r="23" spans="1:9" ht="12.75">
      <c r="A23" s="110" t="s">
        <v>340</v>
      </c>
      <c r="B23" s="110"/>
      <c r="C23" s="124"/>
      <c r="D23" s="229" t="str">
        <f>"----------2007 Monthly Rate----------"</f>
        <v>----------2007 Monthly Rate----------</v>
      </c>
      <c r="E23" s="229"/>
      <c r="F23" s="229"/>
      <c r="G23" s="229"/>
      <c r="H23" s="120"/>
      <c r="I23" s="120"/>
    </row>
    <row r="24" spans="1:8" ht="12.75">
      <c r="A24" s="118" t="s">
        <v>438</v>
      </c>
      <c r="B24" s="110"/>
      <c r="C24" s="110"/>
      <c r="D24" s="116" t="s">
        <v>422</v>
      </c>
      <c r="E24" s="116" t="s">
        <v>421</v>
      </c>
      <c r="F24" s="116" t="s">
        <v>423</v>
      </c>
      <c r="G24" s="122" t="s">
        <v>349</v>
      </c>
      <c r="H24" s="126"/>
    </row>
    <row r="25" spans="1:8" ht="12.75">
      <c r="A25" s="110" t="s">
        <v>343</v>
      </c>
      <c r="B25" s="110"/>
      <c r="C25" s="124"/>
      <c r="D25" s="121">
        <f>ROUND(D10*(1+$G$3),2)</f>
        <v>25.1</v>
      </c>
      <c r="E25" s="121">
        <f>ROUND(E10*(1+$G$3),2)</f>
        <v>50.21</v>
      </c>
      <c r="F25" s="121">
        <f>ROUND(F10*(1+$G$3),2)</f>
        <v>75.31</v>
      </c>
      <c r="G25" s="121">
        <f>ROUND(G10*(1+$G$3),2)</f>
        <v>7.24</v>
      </c>
      <c r="H25" s="126"/>
    </row>
    <row r="26" spans="1:8" ht="12.75">
      <c r="A26" s="110" t="s">
        <v>355</v>
      </c>
      <c r="B26" s="126"/>
      <c r="C26" s="124"/>
      <c r="D26" s="121">
        <f aca="true" t="shared" si="0" ref="D26:G31">ROUND(D11*(1+$G$3),2)</f>
        <v>26.33</v>
      </c>
      <c r="E26" s="121">
        <f t="shared" si="0"/>
        <v>52.65</v>
      </c>
      <c r="F26" s="121">
        <f t="shared" si="0"/>
        <v>78.98</v>
      </c>
      <c r="G26" s="121">
        <f t="shared" si="0"/>
        <v>7.6</v>
      </c>
      <c r="H26" s="110"/>
    </row>
    <row r="27" spans="1:8" ht="12.75">
      <c r="A27" s="110" t="s">
        <v>358</v>
      </c>
      <c r="B27" s="126"/>
      <c r="C27" s="124"/>
      <c r="D27" s="121">
        <f t="shared" si="0"/>
        <v>27.54</v>
      </c>
      <c r="E27" s="121">
        <f t="shared" si="0"/>
        <v>55.08</v>
      </c>
      <c r="F27" s="121">
        <f t="shared" si="0"/>
        <v>82.62</v>
      </c>
      <c r="G27" s="121">
        <f t="shared" si="0"/>
        <v>7.94</v>
      </c>
      <c r="H27" s="110"/>
    </row>
    <row r="28" spans="1:8" ht="12.75">
      <c r="A28" s="110" t="s">
        <v>361</v>
      </c>
      <c r="B28" s="126"/>
      <c r="C28" s="124"/>
      <c r="D28" s="121">
        <f t="shared" si="0"/>
        <v>30.29</v>
      </c>
      <c r="E28" s="121">
        <f t="shared" si="0"/>
        <v>60.58</v>
      </c>
      <c r="F28" s="121">
        <f t="shared" si="0"/>
        <v>90.86</v>
      </c>
      <c r="G28" s="121">
        <f t="shared" si="0"/>
        <v>8.74</v>
      </c>
      <c r="H28" s="110"/>
    </row>
    <row r="29" spans="1:8" ht="12.75">
      <c r="A29" s="110" t="s">
        <v>364</v>
      </c>
      <c r="B29" s="110"/>
      <c r="C29" s="124"/>
      <c r="D29" s="121">
        <f t="shared" si="0"/>
        <v>33.04</v>
      </c>
      <c r="E29" s="121">
        <f t="shared" si="0"/>
        <v>66.09</v>
      </c>
      <c r="F29" s="121">
        <f t="shared" si="0"/>
        <v>99.13</v>
      </c>
      <c r="G29" s="121">
        <f t="shared" si="0"/>
        <v>9.54</v>
      </c>
      <c r="H29" s="110"/>
    </row>
    <row r="30" spans="1:8" ht="12.75">
      <c r="A30" s="110" t="s">
        <v>367</v>
      </c>
      <c r="B30" s="110"/>
      <c r="C30" s="124"/>
      <c r="D30" s="121">
        <f t="shared" si="0"/>
        <v>36.72</v>
      </c>
      <c r="E30" s="121">
        <f t="shared" si="0"/>
        <v>73.45</v>
      </c>
      <c r="F30" s="121">
        <f t="shared" si="0"/>
        <v>110.17</v>
      </c>
      <c r="G30" s="121">
        <f t="shared" si="0"/>
        <v>10.6</v>
      </c>
      <c r="H30" s="110"/>
    </row>
    <row r="31" spans="1:8" ht="12.75">
      <c r="A31" s="110" t="s">
        <v>371</v>
      </c>
      <c r="B31" s="110"/>
      <c r="C31" s="124"/>
      <c r="D31" s="121">
        <f t="shared" si="0"/>
        <v>40.8</v>
      </c>
      <c r="E31" s="121">
        <f t="shared" si="0"/>
        <v>81.61</v>
      </c>
      <c r="F31" s="121">
        <f t="shared" si="0"/>
        <v>122.41</v>
      </c>
      <c r="G31" s="121">
        <f t="shared" si="0"/>
        <v>11.77</v>
      </c>
      <c r="H31" s="110"/>
    </row>
    <row r="32" spans="1:9" ht="12.75">
      <c r="A32" s="110" t="s">
        <v>374</v>
      </c>
      <c r="B32" s="110"/>
      <c r="C32" s="124"/>
      <c r="D32" s="231" t="s">
        <v>375</v>
      </c>
      <c r="E32" s="231"/>
      <c r="F32" s="231"/>
      <c r="G32" s="231"/>
      <c r="H32" s="127"/>
      <c r="I32" s="127"/>
    </row>
    <row r="33" spans="1:9" ht="12.75">
      <c r="A33" s="110"/>
      <c r="B33" s="110"/>
      <c r="C33" s="110"/>
      <c r="D33" s="121"/>
      <c r="E33" s="121"/>
      <c r="F33" s="121"/>
      <c r="G33" s="121"/>
      <c r="H33" s="121"/>
      <c r="I33" s="121"/>
    </row>
    <row r="34" spans="1:9" ht="12.75">
      <c r="A34" s="110" t="s">
        <v>387</v>
      </c>
      <c r="B34" s="110"/>
      <c r="C34" s="110"/>
      <c r="D34" s="121" t="s">
        <v>388</v>
      </c>
      <c r="E34" s="121">
        <f>ROUND(E19*(1+$G$3),2)</f>
        <v>175.81</v>
      </c>
      <c r="F34" s="121"/>
      <c r="G34" s="121" t="s">
        <v>389</v>
      </c>
      <c r="H34" s="121">
        <f>ROUND(H19*(1+$G$3),2)</f>
        <v>196.74</v>
      </c>
      <c r="I34" s="121"/>
    </row>
    <row r="35" spans="1:9" ht="12.75">
      <c r="A35" s="110"/>
      <c r="B35" s="110"/>
      <c r="C35" s="110"/>
      <c r="D35" s="121"/>
      <c r="E35" s="121"/>
      <c r="F35" s="121"/>
      <c r="G35" s="121"/>
      <c r="H35" s="121"/>
      <c r="I35" s="121"/>
    </row>
    <row r="36" spans="1:9" ht="12.75">
      <c r="A36" s="134"/>
      <c r="B36" s="110" t="s">
        <v>427</v>
      </c>
      <c r="C36" s="110" t="s">
        <v>428</v>
      </c>
      <c r="D36" s="110"/>
      <c r="E36" s="110"/>
      <c r="F36" s="110"/>
      <c r="G36" s="110"/>
      <c r="H36" s="110"/>
      <c r="I36" s="110"/>
    </row>
    <row r="37" spans="1:9" ht="12.75">
      <c r="A37" s="110"/>
      <c r="B37" s="110"/>
      <c r="C37" s="110"/>
      <c r="D37" s="110"/>
      <c r="E37" s="110"/>
      <c r="F37" s="110"/>
      <c r="G37" s="109">
        <v>2007</v>
      </c>
      <c r="H37" s="109"/>
      <c r="I37" s="110"/>
    </row>
    <row r="38" spans="1:9" ht="12.75">
      <c r="A38" s="112" t="s">
        <v>330</v>
      </c>
      <c r="B38" s="113"/>
      <c r="C38" s="113"/>
      <c r="D38" s="113"/>
      <c r="E38" s="110" t="s">
        <v>325</v>
      </c>
      <c r="F38" s="110"/>
      <c r="G38" s="111">
        <f>+'Method - A'!M51</f>
        <v>-0.09343557431526865</v>
      </c>
      <c r="H38" s="111"/>
      <c r="I38" s="113"/>
    </row>
    <row r="39" spans="1:9" ht="12.75">
      <c r="A39" s="115" t="s">
        <v>334</v>
      </c>
      <c r="B39" s="110"/>
      <c r="C39" s="110"/>
      <c r="D39" s="124"/>
      <c r="E39" s="110" t="s">
        <v>430</v>
      </c>
      <c r="F39" s="110"/>
      <c r="G39" s="114">
        <v>4.333</v>
      </c>
      <c r="H39" s="110"/>
      <c r="I39" s="110"/>
    </row>
    <row r="40" spans="2:9" ht="12.75">
      <c r="B40" s="110"/>
      <c r="C40" s="110"/>
      <c r="D40" s="229" t="str">
        <f>"----------Current Monthly Rate----------"</f>
        <v>----------Current Monthly Rate----------</v>
      </c>
      <c r="E40" s="229"/>
      <c r="F40" s="229"/>
      <c r="G40" s="229"/>
      <c r="H40" s="229"/>
      <c r="I40" s="110"/>
    </row>
    <row r="41" spans="1:9" ht="12.75">
      <c r="A41" s="118" t="s">
        <v>337</v>
      </c>
      <c r="B41" s="110"/>
      <c r="C41" s="110"/>
      <c r="D41" s="229"/>
      <c r="E41" s="229"/>
      <c r="F41" s="229"/>
      <c r="G41" s="229"/>
      <c r="H41" s="229"/>
      <c r="I41" s="110"/>
    </row>
    <row r="42" spans="1:9" ht="12.75">
      <c r="A42" s="110"/>
      <c r="B42" s="110"/>
      <c r="C42" s="110"/>
      <c r="D42" s="132"/>
      <c r="E42" s="132"/>
      <c r="F42" s="132"/>
      <c r="G42" s="132"/>
      <c r="H42" s="132"/>
      <c r="I42" s="110"/>
    </row>
    <row r="43" spans="1:9" ht="12.75">
      <c r="A43" s="220" t="s">
        <v>554</v>
      </c>
      <c r="B43" s="110"/>
      <c r="C43" s="110"/>
      <c r="D43" s="122"/>
      <c r="E43" s="116"/>
      <c r="F43" s="116"/>
      <c r="G43" s="116" t="s">
        <v>339</v>
      </c>
      <c r="H43" s="116" t="s">
        <v>339</v>
      </c>
      <c r="I43" s="110"/>
    </row>
    <row r="44" spans="1:9" ht="12.75">
      <c r="A44" s="110" t="s">
        <v>352</v>
      </c>
      <c r="B44" s="110"/>
      <c r="C44" s="110"/>
      <c r="D44" s="122" t="s">
        <v>344</v>
      </c>
      <c r="E44" s="122" t="s">
        <v>345</v>
      </c>
      <c r="F44" s="122" t="s">
        <v>346</v>
      </c>
      <c r="G44" s="122" t="s">
        <v>347</v>
      </c>
      <c r="H44" s="122" t="s">
        <v>348</v>
      </c>
      <c r="I44" s="110"/>
    </row>
    <row r="45" spans="1:9" ht="12.75">
      <c r="A45" s="110"/>
      <c r="B45" s="126">
        <v>1</v>
      </c>
      <c r="C45" s="124"/>
      <c r="D45" s="121">
        <v>297.93</v>
      </c>
      <c r="E45" s="121">
        <v>549.73</v>
      </c>
      <c r="F45" s="121">
        <v>801.54</v>
      </c>
      <c r="G45" s="121">
        <v>55.95</v>
      </c>
      <c r="H45" s="121">
        <v>111.9</v>
      </c>
      <c r="I45" s="110"/>
    </row>
    <row r="46" spans="1:9" ht="12.75">
      <c r="A46" s="110"/>
      <c r="B46" s="126">
        <v>2</v>
      </c>
      <c r="C46" s="124"/>
      <c r="D46" s="121">
        <v>549.73</v>
      </c>
      <c r="E46" s="121">
        <v>1053.35</v>
      </c>
      <c r="F46" s="121">
        <v>1556.97</v>
      </c>
      <c r="G46" s="121">
        <v>111.9</v>
      </c>
      <c r="H46" s="121">
        <v>223.8</v>
      </c>
      <c r="I46" s="110"/>
    </row>
    <row r="47" spans="1:9" ht="12.75">
      <c r="A47" s="110"/>
      <c r="B47" s="126">
        <v>3</v>
      </c>
      <c r="C47" s="124"/>
      <c r="D47" s="121">
        <v>801.54</v>
      </c>
      <c r="E47" s="121">
        <v>1556.97</v>
      </c>
      <c r="F47" s="121">
        <v>2312.39</v>
      </c>
      <c r="G47" s="121">
        <v>167.86</v>
      </c>
      <c r="H47" s="121">
        <v>335.72</v>
      </c>
      <c r="I47" s="110"/>
    </row>
    <row r="48" spans="1:9" ht="12.75">
      <c r="A48" s="110"/>
      <c r="B48" s="126">
        <v>4</v>
      </c>
      <c r="C48" s="124"/>
      <c r="D48" s="121">
        <v>1053.35</v>
      </c>
      <c r="E48" s="121">
        <v>2060.6</v>
      </c>
      <c r="F48" s="121">
        <v>3067.83</v>
      </c>
      <c r="G48" s="121">
        <v>223.81</v>
      </c>
      <c r="H48" s="121">
        <v>447.62</v>
      </c>
      <c r="I48" s="110"/>
    </row>
    <row r="49" spans="1:9" ht="12.75">
      <c r="A49" s="110"/>
      <c r="B49" s="126">
        <v>5</v>
      </c>
      <c r="C49" s="124"/>
      <c r="D49" s="121">
        <v>1305.16</v>
      </c>
      <c r="E49" s="121">
        <v>2564.21</v>
      </c>
      <c r="F49" s="121">
        <v>3823.25</v>
      </c>
      <c r="G49" s="121">
        <v>279.76</v>
      </c>
      <c r="H49" s="121">
        <v>559.52</v>
      </c>
      <c r="I49" s="110"/>
    </row>
    <row r="50" spans="1:9" ht="12.75">
      <c r="A50" s="110"/>
      <c r="B50" s="110" t="s">
        <v>363</v>
      </c>
      <c r="C50" s="124"/>
      <c r="D50" s="121">
        <v>405.99</v>
      </c>
      <c r="E50" s="121">
        <v>811.98</v>
      </c>
      <c r="F50" s="121">
        <v>1217.94</v>
      </c>
      <c r="G50" s="121">
        <v>84.1</v>
      </c>
      <c r="H50" s="121">
        <v>168.2</v>
      </c>
      <c r="I50" s="110"/>
    </row>
    <row r="51" spans="1:9" ht="12.75">
      <c r="A51" s="110"/>
      <c r="B51" s="110" t="s">
        <v>376</v>
      </c>
      <c r="C51" s="124"/>
      <c r="D51" s="121">
        <v>72.63</v>
      </c>
      <c r="E51" s="121">
        <v>145.26</v>
      </c>
      <c r="F51" s="121">
        <v>217.92</v>
      </c>
      <c r="G51" s="121">
        <v>16.15</v>
      </c>
      <c r="H51" s="121">
        <v>32.3</v>
      </c>
      <c r="I51" s="110"/>
    </row>
    <row r="52" spans="1:9" ht="12.75">
      <c r="A52" s="110"/>
      <c r="B52" s="110" t="s">
        <v>379</v>
      </c>
      <c r="C52" s="110"/>
      <c r="D52" s="121">
        <v>117.12</v>
      </c>
      <c r="E52" s="121">
        <v>234.23</v>
      </c>
      <c r="F52" s="129">
        <v>351.35</v>
      </c>
      <c r="G52" s="121">
        <v>24.27</v>
      </c>
      <c r="H52" s="121">
        <v>48.54</v>
      </c>
      <c r="I52" s="110"/>
    </row>
    <row r="53" spans="1:9" ht="12.75">
      <c r="A53" s="110"/>
      <c r="B53" s="110"/>
      <c r="C53" s="110"/>
      <c r="D53" s="121"/>
      <c r="E53" s="121"/>
      <c r="F53" s="121"/>
      <c r="G53" s="121"/>
      <c r="H53" s="121"/>
      <c r="I53" s="110"/>
    </row>
    <row r="54" spans="1:9" ht="12.75">
      <c r="A54" s="110" t="s">
        <v>555</v>
      </c>
      <c r="B54" s="110"/>
      <c r="C54" s="110"/>
      <c r="D54" s="121" t="s">
        <v>382</v>
      </c>
      <c r="E54" s="121">
        <v>29.04</v>
      </c>
      <c r="F54" s="121"/>
      <c r="G54" s="121" t="s">
        <v>383</v>
      </c>
      <c r="H54" s="121">
        <v>46.12</v>
      </c>
      <c r="I54" s="110"/>
    </row>
    <row r="55" spans="1:7" ht="12.75">
      <c r="A55" s="124"/>
      <c r="B55" s="124"/>
      <c r="C55" s="124"/>
      <c r="D55" s="124"/>
      <c r="E55" s="124"/>
      <c r="F55" s="124"/>
      <c r="G55" s="124"/>
    </row>
    <row r="56" spans="1:9" ht="12.75">
      <c r="A56" s="110" t="s">
        <v>391</v>
      </c>
      <c r="B56" s="110"/>
      <c r="C56" s="110"/>
      <c r="D56" s="122" t="s">
        <v>392</v>
      </c>
      <c r="E56" s="122" t="s">
        <v>357</v>
      </c>
      <c r="F56" s="122" t="s">
        <v>360</v>
      </c>
      <c r="G56" s="122" t="s">
        <v>393</v>
      </c>
      <c r="H56" s="122" t="s">
        <v>385</v>
      </c>
      <c r="I56" s="122" t="s">
        <v>386</v>
      </c>
    </row>
    <row r="57" spans="1:9" ht="12.75">
      <c r="A57" s="110"/>
      <c r="B57" s="110" t="s">
        <v>431</v>
      </c>
      <c r="C57" s="110"/>
      <c r="D57" s="121">
        <v>565.92</v>
      </c>
      <c r="E57" s="121">
        <v>115.49</v>
      </c>
      <c r="F57" s="121">
        <v>227.9</v>
      </c>
      <c r="G57" s="121">
        <v>136.75</v>
      </c>
      <c r="H57" s="121">
        <v>41.63</v>
      </c>
      <c r="I57" s="121">
        <v>11.13</v>
      </c>
    </row>
    <row r="58" spans="1:9" ht="12.75">
      <c r="A58" s="110"/>
      <c r="B58" s="134" t="s">
        <v>434</v>
      </c>
      <c r="C58" s="134"/>
      <c r="D58" s="136">
        <v>871.2</v>
      </c>
      <c r="E58" s="136">
        <v>115.49</v>
      </c>
      <c r="F58" s="136">
        <v>227.9</v>
      </c>
      <c r="G58" s="136">
        <v>136.75</v>
      </c>
      <c r="H58" s="136">
        <v>41.63</v>
      </c>
      <c r="I58" s="136">
        <v>11.13</v>
      </c>
    </row>
    <row r="59" spans="1:9" ht="12.75">
      <c r="A59" s="110"/>
      <c r="B59" s="110" t="s">
        <v>432</v>
      </c>
      <c r="C59" s="110"/>
      <c r="D59" s="121">
        <v>1060.57</v>
      </c>
      <c r="E59" s="121">
        <v>115.49</v>
      </c>
      <c r="F59" s="121">
        <v>227.9</v>
      </c>
      <c r="G59" s="121">
        <v>136.75</v>
      </c>
      <c r="H59" s="121">
        <v>41.63</v>
      </c>
      <c r="I59" s="121">
        <v>11.13</v>
      </c>
    </row>
    <row r="60" spans="1:9" ht="12.75">
      <c r="A60" s="110"/>
      <c r="B60" s="124"/>
      <c r="C60" s="110"/>
      <c r="D60" s="121"/>
      <c r="E60" s="121"/>
      <c r="F60" s="121"/>
      <c r="G60" s="121"/>
      <c r="H60" s="121"/>
      <c r="I60" s="110"/>
    </row>
    <row r="61" spans="1:9" ht="12.75">
      <c r="A61" s="110" t="s">
        <v>401</v>
      </c>
      <c r="B61" s="110"/>
      <c r="C61" s="110"/>
      <c r="D61" s="121">
        <v>87.79</v>
      </c>
      <c r="E61" s="121"/>
      <c r="F61" s="121" t="s">
        <v>399</v>
      </c>
      <c r="G61" s="121"/>
      <c r="H61" s="121">
        <v>193.93</v>
      </c>
      <c r="I61" s="126"/>
    </row>
    <row r="62" spans="1:9" ht="12.75">
      <c r="A62" s="110" t="s">
        <v>390</v>
      </c>
      <c r="B62" s="110"/>
      <c r="C62" s="110"/>
      <c r="D62" s="121">
        <v>145.86</v>
      </c>
      <c r="E62" s="121"/>
      <c r="F62" s="121" t="s">
        <v>400</v>
      </c>
      <c r="G62" s="121"/>
      <c r="H62" s="121">
        <v>217.02</v>
      </c>
      <c r="I62" s="126"/>
    </row>
    <row r="63" spans="1:9" ht="12.75">
      <c r="A63" s="110" t="s">
        <v>396</v>
      </c>
      <c r="B63" s="110"/>
      <c r="C63" s="110"/>
      <c r="D63" s="121">
        <v>23.09</v>
      </c>
      <c r="E63" s="121"/>
      <c r="F63" s="121" t="s">
        <v>403</v>
      </c>
      <c r="G63" s="121"/>
      <c r="H63" s="121">
        <v>62.4</v>
      </c>
      <c r="I63" s="126"/>
    </row>
    <row r="64" spans="1:9" ht="12.75">
      <c r="A64" s="124"/>
      <c r="B64" s="124"/>
      <c r="C64" s="124"/>
      <c r="D64" s="124"/>
      <c r="E64" s="121"/>
      <c r="F64" s="121"/>
      <c r="G64" s="121"/>
      <c r="H64" s="121"/>
      <c r="I64" s="126"/>
    </row>
    <row r="65" spans="1:9" ht="12.75">
      <c r="A65" s="118"/>
      <c r="B65" s="110"/>
      <c r="C65" s="110"/>
      <c r="D65" s="229" t="str">
        <f>"----------2007 Monthly Rate----------"</f>
        <v>----------2007 Monthly Rate----------</v>
      </c>
      <c r="E65" s="229"/>
      <c r="F65" s="229"/>
      <c r="G65" s="229"/>
      <c r="H65" s="229"/>
      <c r="I65" s="126"/>
    </row>
    <row r="66" spans="1:9" ht="12.75">
      <c r="A66" s="118" t="str">
        <f>+A43</f>
        <v>Curbside to 660 feet</v>
      </c>
      <c r="B66" s="110"/>
      <c r="C66" s="110"/>
      <c r="D66" s="122"/>
      <c r="E66" s="116"/>
      <c r="F66" s="116"/>
      <c r="G66" s="116" t="s">
        <v>339</v>
      </c>
      <c r="H66" s="116" t="s">
        <v>339</v>
      </c>
      <c r="I66" s="126"/>
    </row>
    <row r="67" spans="1:9" ht="12.75">
      <c r="A67" s="110" t="str">
        <f>A44</f>
        <v>Times Per Week</v>
      </c>
      <c r="B67" s="110"/>
      <c r="C67" s="110"/>
      <c r="D67" s="122" t="s">
        <v>344</v>
      </c>
      <c r="E67" s="122" t="s">
        <v>345</v>
      </c>
      <c r="F67" s="122" t="s">
        <v>346</v>
      </c>
      <c r="G67" s="122" t="s">
        <v>347</v>
      </c>
      <c r="H67" s="122" t="s">
        <v>348</v>
      </c>
      <c r="I67" s="126"/>
    </row>
    <row r="68" spans="1:9" ht="12.75">
      <c r="A68" s="110"/>
      <c r="B68" s="110">
        <f aca="true" t="shared" si="1" ref="B68:B75">B45</f>
        <v>1</v>
      </c>
      <c r="C68" s="124"/>
      <c r="D68" s="121">
        <f aca="true" t="shared" si="2" ref="D68:H73">D45*(1+$G$38)</f>
        <v>270.09273934425204</v>
      </c>
      <c r="E68" s="121">
        <f t="shared" si="2"/>
        <v>498.3656617316674</v>
      </c>
      <c r="F68" s="121">
        <f t="shared" si="2"/>
        <v>726.6476497633396</v>
      </c>
      <c r="G68" s="121">
        <f t="shared" si="2"/>
        <v>50.72227961706072</v>
      </c>
      <c r="H68" s="121">
        <f t="shared" si="2"/>
        <v>101.44455923412144</v>
      </c>
      <c r="I68" s="110"/>
    </row>
    <row r="69" spans="1:9" ht="12.75">
      <c r="A69" s="110"/>
      <c r="B69" s="110">
        <f t="shared" si="1"/>
        <v>2</v>
      </c>
      <c r="C69" s="124"/>
      <c r="D69" s="121">
        <f t="shared" si="2"/>
        <v>498.3656617316674</v>
      </c>
      <c r="E69" s="121">
        <f t="shared" si="2"/>
        <v>954.9296377950117</v>
      </c>
      <c r="F69" s="121">
        <f t="shared" si="2"/>
        <v>1411.4936138583562</v>
      </c>
      <c r="G69" s="121">
        <f t="shared" si="2"/>
        <v>101.44455923412144</v>
      </c>
      <c r="H69" s="121">
        <f t="shared" si="2"/>
        <v>202.88911846824288</v>
      </c>
      <c r="I69" s="110"/>
    </row>
    <row r="70" spans="1:9" ht="12.75">
      <c r="A70" s="110"/>
      <c r="B70" s="110">
        <f t="shared" si="1"/>
        <v>3</v>
      </c>
      <c r="C70" s="124"/>
      <c r="D70" s="121">
        <f t="shared" si="2"/>
        <v>726.6476497633396</v>
      </c>
      <c r="E70" s="121">
        <f t="shared" si="2"/>
        <v>1411.4936138583562</v>
      </c>
      <c r="F70" s="121">
        <f t="shared" si="2"/>
        <v>2096.330512309116</v>
      </c>
      <c r="G70" s="121">
        <f t="shared" si="2"/>
        <v>152.17590449543903</v>
      </c>
      <c r="H70" s="121">
        <f t="shared" si="2"/>
        <v>304.35180899087806</v>
      </c>
      <c r="I70" s="110"/>
    </row>
    <row r="71" spans="1:9" ht="12.75">
      <c r="A71" s="110"/>
      <c r="B71" s="110">
        <f t="shared" si="1"/>
        <v>4</v>
      </c>
      <c r="C71" s="124"/>
      <c r="D71" s="121">
        <f t="shared" si="2"/>
        <v>954.9296377950117</v>
      </c>
      <c r="E71" s="121">
        <f t="shared" si="2"/>
        <v>1868.0666555659575</v>
      </c>
      <c r="F71" s="121">
        <f t="shared" si="2"/>
        <v>2781.1855420483894</v>
      </c>
      <c r="G71" s="121">
        <f t="shared" si="2"/>
        <v>202.89818411249973</v>
      </c>
      <c r="H71" s="121">
        <f t="shared" si="2"/>
        <v>405.79636822499947</v>
      </c>
      <c r="I71" s="110"/>
    </row>
    <row r="72" spans="1:9" ht="12.75">
      <c r="A72" s="110"/>
      <c r="B72" s="110">
        <f t="shared" si="1"/>
        <v>5</v>
      </c>
      <c r="C72" s="124"/>
      <c r="D72" s="121">
        <f t="shared" si="2"/>
        <v>1183.211625826684</v>
      </c>
      <c r="E72" s="121">
        <f t="shared" si="2"/>
        <v>2324.621565985045</v>
      </c>
      <c r="F72" s="121">
        <f t="shared" si="2"/>
        <v>3466.022440499149</v>
      </c>
      <c r="G72" s="121">
        <f t="shared" si="2"/>
        <v>253.62046372956044</v>
      </c>
      <c r="H72" s="121">
        <f t="shared" si="2"/>
        <v>507.2409274591209</v>
      </c>
      <c r="I72" s="110"/>
    </row>
    <row r="73" spans="1:9" ht="12.75">
      <c r="A73" s="110"/>
      <c r="B73" s="110" t="str">
        <f t="shared" si="1"/>
        <v>Saturday</v>
      </c>
      <c r="C73" s="124"/>
      <c r="D73" s="121">
        <f t="shared" si="2"/>
        <v>368.0560911837441</v>
      </c>
      <c r="E73" s="121">
        <f t="shared" si="2"/>
        <v>736.1121823674882</v>
      </c>
      <c r="F73" s="121">
        <f t="shared" si="2"/>
        <v>1104.1410766184617</v>
      </c>
      <c r="G73" s="121">
        <f t="shared" si="2"/>
        <v>76.24206820008591</v>
      </c>
      <c r="H73" s="121">
        <f t="shared" si="2"/>
        <v>152.48413640017182</v>
      </c>
      <c r="I73" s="110"/>
    </row>
    <row r="74" spans="1:9" ht="12.75">
      <c r="A74" s="110"/>
      <c r="B74" s="110" t="str">
        <f t="shared" si="1"/>
        <v>Extra Pickup</v>
      </c>
      <c r="C74" s="124"/>
      <c r="D74" s="121">
        <f>D51*(1+$G$38)</f>
        <v>65.84377423748204</v>
      </c>
      <c r="E74" s="121">
        <f>E51*(1+$G$38)</f>
        <v>131.68754847496407</v>
      </c>
      <c r="F74" s="121">
        <f>F51*(1+$G$38)</f>
        <v>197.55851964521665</v>
      </c>
      <c r="G74" s="121">
        <f>G51*(1+$G$38)</f>
        <v>14.64101547480841</v>
      </c>
      <c r="H74" s="121">
        <f>H51*(1+$G$38)</f>
        <v>29.28203094961682</v>
      </c>
      <c r="I74" s="110"/>
    </row>
    <row r="75" spans="1:9" ht="12.75">
      <c r="A75" s="110"/>
      <c r="B75" s="110" t="str">
        <f t="shared" si="1"/>
        <v>Sat/Holiday</v>
      </c>
      <c r="C75" s="110"/>
      <c r="D75" s="121">
        <f aca="true" t="shared" si="3" ref="D75:H77">D52*(1+$G$38)</f>
        <v>106.17682553619575</v>
      </c>
      <c r="E75" s="121">
        <f t="shared" si="3"/>
        <v>212.34458542813462</v>
      </c>
      <c r="F75" s="121">
        <f t="shared" si="3"/>
        <v>318.5214109643304</v>
      </c>
      <c r="G75" s="121">
        <f t="shared" si="3"/>
        <v>22.00231861136843</v>
      </c>
      <c r="H75" s="121">
        <f t="shared" si="3"/>
        <v>44.00463722273686</v>
      </c>
      <c r="I75" s="110"/>
    </row>
    <row r="76" spans="1:9" ht="12.75">
      <c r="A76" s="110"/>
      <c r="B76" s="110"/>
      <c r="C76" s="110"/>
      <c r="D76" s="121"/>
      <c r="E76" s="121"/>
      <c r="F76" s="121"/>
      <c r="G76" s="121"/>
      <c r="H76" s="121"/>
      <c r="I76" s="110"/>
    </row>
    <row r="77" spans="1:9" ht="12.75">
      <c r="A77" s="110" t="str">
        <f>A54</f>
        <v>Demurrage </v>
      </c>
      <c r="B77" s="110"/>
      <c r="C77" s="110"/>
      <c r="D77" s="110" t="str">
        <f>D54</f>
        <v>Yard:</v>
      </c>
      <c r="E77" s="121">
        <f t="shared" si="3"/>
        <v>26.3266309218846</v>
      </c>
      <c r="F77" s="121"/>
      <c r="G77" s="110" t="str">
        <f>G54</f>
        <v>Bin:</v>
      </c>
      <c r="H77" s="121">
        <f t="shared" si="3"/>
        <v>41.81075131257981</v>
      </c>
      <c r="I77" s="110"/>
    </row>
    <row r="78" spans="1:9" ht="12.75">
      <c r="A78" s="110"/>
      <c r="B78" s="110"/>
      <c r="C78" s="110"/>
      <c r="D78" s="110"/>
      <c r="E78" s="121"/>
      <c r="F78" s="121"/>
      <c r="G78" s="110"/>
      <c r="H78" s="121"/>
      <c r="I78" s="110"/>
    </row>
    <row r="79" spans="1:9" ht="12.75">
      <c r="A79" s="110" t="s">
        <v>391</v>
      </c>
      <c r="B79" s="110"/>
      <c r="C79" s="110"/>
      <c r="D79" s="122" t="s">
        <v>392</v>
      </c>
      <c r="E79" s="122" t="s">
        <v>357</v>
      </c>
      <c r="F79" s="122" t="s">
        <v>360</v>
      </c>
      <c r="G79" s="122" t="s">
        <v>393</v>
      </c>
      <c r="H79" s="122" t="s">
        <v>385</v>
      </c>
      <c r="I79" s="122" t="s">
        <v>386</v>
      </c>
    </row>
    <row r="80" spans="1:9" ht="12.75">
      <c r="A80" s="110"/>
      <c r="B80" s="110" t="s">
        <v>431</v>
      </c>
      <c r="C80" s="110"/>
      <c r="D80" s="121">
        <f aca="true" t="shared" si="4" ref="D80:I80">D57*(1+$G$38)</f>
        <v>513.0429397835031</v>
      </c>
      <c r="E80" s="121">
        <f t="shared" si="4"/>
        <v>104.69912552232962</v>
      </c>
      <c r="F80" s="121">
        <f t="shared" si="4"/>
        <v>206.6060326135503</v>
      </c>
      <c r="G80" s="121">
        <f t="shared" si="4"/>
        <v>123.97268521238702</v>
      </c>
      <c r="H80" s="121">
        <f t="shared" si="4"/>
        <v>37.74027704125537</v>
      </c>
      <c r="I80" s="121">
        <f t="shared" si="4"/>
        <v>10.09006205787106</v>
      </c>
    </row>
    <row r="81" spans="1:9" ht="12.75">
      <c r="A81" s="110"/>
      <c r="B81" s="134" t="s">
        <v>434</v>
      </c>
      <c r="C81" s="134"/>
      <c r="D81" s="136">
        <f aca="true" t="shared" si="5" ref="D81:I81">D58*(1+$G$38)</f>
        <v>789.798927656538</v>
      </c>
      <c r="E81" s="136">
        <f t="shared" si="5"/>
        <v>104.69912552232962</v>
      </c>
      <c r="F81" s="136">
        <f t="shared" si="5"/>
        <v>206.6060326135503</v>
      </c>
      <c r="G81" s="136">
        <f t="shared" si="5"/>
        <v>123.97268521238702</v>
      </c>
      <c r="H81" s="136">
        <f t="shared" si="5"/>
        <v>37.74027704125537</v>
      </c>
      <c r="I81" s="136">
        <f t="shared" si="5"/>
        <v>10.09006205787106</v>
      </c>
    </row>
    <row r="82" spans="1:9" ht="12.75">
      <c r="A82" s="110"/>
      <c r="B82" s="110" t="s">
        <v>432</v>
      </c>
      <c r="C82" s="110"/>
      <c r="D82" s="121">
        <f aca="true" t="shared" si="6" ref="D82:I82">D59*(1+$G$38)</f>
        <v>961.4750329484555</v>
      </c>
      <c r="E82" s="121">
        <f t="shared" si="6"/>
        <v>104.69912552232962</v>
      </c>
      <c r="F82" s="121">
        <f t="shared" si="6"/>
        <v>206.6060326135503</v>
      </c>
      <c r="G82" s="121">
        <f t="shared" si="6"/>
        <v>123.97268521238702</v>
      </c>
      <c r="H82" s="121">
        <f t="shared" si="6"/>
        <v>37.74027704125537</v>
      </c>
      <c r="I82" s="121">
        <f t="shared" si="6"/>
        <v>10.09006205787106</v>
      </c>
    </row>
    <row r="83" spans="1:9" ht="12.75">
      <c r="A83" s="110"/>
      <c r="B83" s="110"/>
      <c r="C83" s="110"/>
      <c r="D83" s="121"/>
      <c r="E83" s="121"/>
      <c r="F83" s="121"/>
      <c r="G83" s="121"/>
      <c r="H83" s="121"/>
      <c r="I83" s="110"/>
    </row>
    <row r="84" spans="1:9" ht="12.75">
      <c r="A84" s="110" t="s">
        <v>401</v>
      </c>
      <c r="B84" s="110"/>
      <c r="C84" s="110"/>
      <c r="D84" s="121">
        <f>D61*(1+$G$38)</f>
        <v>79.58729093086258</v>
      </c>
      <c r="E84" s="122"/>
      <c r="F84" s="121" t="s">
        <v>399</v>
      </c>
      <c r="G84" s="122"/>
      <c r="H84" s="121">
        <f>H61*(1+$G$38)</f>
        <v>175.81003907303997</v>
      </c>
      <c r="I84" s="110"/>
    </row>
    <row r="85" spans="1:9" ht="12.75">
      <c r="A85" s="110" t="s">
        <v>390</v>
      </c>
      <c r="B85" s="110" t="s">
        <v>418</v>
      </c>
      <c r="C85" s="110"/>
      <c r="D85" s="121">
        <f>D62*(1+$G$38)</f>
        <v>132.23148713037494</v>
      </c>
      <c r="E85" s="121"/>
      <c r="F85" s="121" t="s">
        <v>400</v>
      </c>
      <c r="G85" s="121"/>
      <c r="H85" s="121">
        <f>H62*(1+$G$38)</f>
        <v>196.74261166210042</v>
      </c>
      <c r="I85" s="110"/>
    </row>
    <row r="86" spans="1:9" ht="12.75">
      <c r="A86" s="110" t="s">
        <v>396</v>
      </c>
      <c r="B86" s="124"/>
      <c r="C86" s="124"/>
      <c r="D86" s="121">
        <f>D63*(1+$G$38)</f>
        <v>20.93257258906045</v>
      </c>
      <c r="E86" s="121"/>
      <c r="F86" s="121" t="s">
        <v>403</v>
      </c>
      <c r="G86" s="121"/>
      <c r="H86" s="121">
        <f>H63*(1+$G$38)</f>
        <v>56.56962016272724</v>
      </c>
      <c r="I86" s="110"/>
    </row>
    <row r="87" spans="1:9" ht="12.75">
      <c r="A87" s="110"/>
      <c r="B87" s="110"/>
      <c r="C87" s="110"/>
      <c r="D87" s="121"/>
      <c r="E87" s="121"/>
      <c r="F87" s="121"/>
      <c r="G87" s="121"/>
      <c r="H87" s="121"/>
      <c r="I87" s="126"/>
    </row>
    <row r="88" spans="1:9" ht="12.75">
      <c r="A88" s="110"/>
      <c r="B88" s="110"/>
      <c r="C88" s="110"/>
      <c r="D88" s="111"/>
      <c r="E88" s="110"/>
      <c r="F88" s="124"/>
      <c r="G88" s="124"/>
      <c r="H88" s="124"/>
      <c r="I88" s="126"/>
    </row>
    <row r="89" spans="1:9" ht="12.75">
      <c r="A89" s="134"/>
      <c r="B89" s="110" t="s">
        <v>427</v>
      </c>
      <c r="C89" s="110" t="s">
        <v>428</v>
      </c>
      <c r="D89" s="110"/>
      <c r="E89" s="110"/>
      <c r="F89" s="124"/>
      <c r="G89" s="124"/>
      <c r="H89" s="124"/>
      <c r="I89" s="126"/>
    </row>
    <row r="90" spans="1:9" ht="12.75">
      <c r="A90" s="110"/>
      <c r="B90" s="110"/>
      <c r="C90" s="110"/>
      <c r="D90" s="110"/>
      <c r="E90" s="110"/>
      <c r="F90" s="124"/>
      <c r="G90" s="124"/>
      <c r="H90" s="124"/>
      <c r="I90" s="126"/>
    </row>
    <row r="91" spans="1:9" ht="12.75">
      <c r="A91" s="135"/>
      <c r="B91" s="134"/>
      <c r="C91" s="134"/>
      <c r="D91" s="195"/>
      <c r="E91" s="195"/>
      <c r="F91" s="192"/>
      <c r="G91" s="193">
        <v>2007</v>
      </c>
      <c r="H91" s="135"/>
      <c r="I91" s="126"/>
    </row>
    <row r="92" spans="1:9" ht="12.75">
      <c r="A92" s="134"/>
      <c r="B92" s="134"/>
      <c r="C92" s="134"/>
      <c r="D92" s="195"/>
      <c r="E92" s="195"/>
      <c r="F92" s="134" t="s">
        <v>325</v>
      </c>
      <c r="G92" s="194">
        <f>+'Method - A'!M51</f>
        <v>-0.09343557431526865</v>
      </c>
      <c r="H92" s="135"/>
      <c r="I92" s="110"/>
    </row>
    <row r="93" spans="1:8" ht="12.75">
      <c r="A93" s="195"/>
      <c r="B93" s="192"/>
      <c r="C93" s="192"/>
      <c r="D93" s="195"/>
      <c r="E93" s="195"/>
      <c r="F93" s="134" t="s">
        <v>333</v>
      </c>
      <c r="G93" s="196">
        <v>4.333</v>
      </c>
      <c r="H93" s="135"/>
    </row>
    <row r="94" spans="1:11" ht="12.75">
      <c r="A94" s="197" t="s">
        <v>556</v>
      </c>
      <c r="B94" s="192"/>
      <c r="C94" s="192"/>
      <c r="D94" s="195"/>
      <c r="E94" s="195"/>
      <c r="F94" s="134"/>
      <c r="G94" s="196"/>
      <c r="H94" s="135"/>
      <c r="J94" s="185" t="s">
        <v>499</v>
      </c>
      <c r="K94" s="124"/>
    </row>
    <row r="95" spans="1:11" ht="12.75">
      <c r="A95" s="198" t="s">
        <v>531</v>
      </c>
      <c r="B95" s="134"/>
      <c r="C95" s="134"/>
      <c r="D95" s="195"/>
      <c r="E95" s="195"/>
      <c r="F95" s="222" t="s">
        <v>200</v>
      </c>
      <c r="G95" s="195"/>
      <c r="H95" s="193">
        <v>2007</v>
      </c>
      <c r="J95" s="109">
        <v>2007</v>
      </c>
      <c r="K95" s="109">
        <v>2007</v>
      </c>
    </row>
    <row r="96" spans="1:11" ht="12.75">
      <c r="A96" s="135"/>
      <c r="B96" s="134"/>
      <c r="C96" s="134"/>
      <c r="D96" s="195"/>
      <c r="E96" s="195"/>
      <c r="F96" s="222" t="s">
        <v>170</v>
      </c>
      <c r="G96" s="195"/>
      <c r="H96" s="223" t="s">
        <v>500</v>
      </c>
      <c r="J96" s="184" t="s">
        <v>500</v>
      </c>
      <c r="K96" s="184" t="s">
        <v>500</v>
      </c>
    </row>
    <row r="97" spans="1:11" ht="12.75">
      <c r="A97" s="199" t="s">
        <v>337</v>
      </c>
      <c r="B97" s="134"/>
      <c r="C97" s="135"/>
      <c r="D97" s="195"/>
      <c r="E97" s="195"/>
      <c r="F97" s="222" t="s">
        <v>172</v>
      </c>
      <c r="G97" s="195"/>
      <c r="H97" s="222" t="s">
        <v>501</v>
      </c>
      <c r="J97" s="116" t="s">
        <v>502</v>
      </c>
      <c r="K97" s="116" t="s">
        <v>503</v>
      </c>
    </row>
    <row r="98" spans="1:11" ht="12.75">
      <c r="A98" s="200" t="s">
        <v>524</v>
      </c>
      <c r="B98" s="135"/>
      <c r="C98" s="135"/>
      <c r="D98" s="195"/>
      <c r="E98" s="195"/>
      <c r="F98" s="135"/>
      <c r="G98" s="195"/>
      <c r="H98" s="135"/>
      <c r="J98" s="124"/>
      <c r="K98" s="124"/>
    </row>
    <row r="99" spans="1:11" ht="12.75">
      <c r="A99" s="135"/>
      <c r="B99" s="201" t="s">
        <v>532</v>
      </c>
      <c r="C99" s="135"/>
      <c r="D99" s="195"/>
      <c r="E99" s="195"/>
      <c r="F99" s="202"/>
      <c r="G99" s="195"/>
      <c r="H99" s="135"/>
      <c r="J99" s="121"/>
      <c r="K99" s="121"/>
    </row>
    <row r="100" spans="1:11" ht="12.75">
      <c r="A100" s="135"/>
      <c r="B100" s="135"/>
      <c r="C100" s="203">
        <v>1</v>
      </c>
      <c r="D100" s="195"/>
      <c r="E100" s="195"/>
      <c r="F100" s="204">
        <v>62.3</v>
      </c>
      <c r="G100" s="195"/>
      <c r="H100" s="136">
        <f>+F100*(1+$G$92)</f>
        <v>56.47896372015876</v>
      </c>
      <c r="J100" s="121">
        <f>+H100*3</f>
        <v>169.43689116047628</v>
      </c>
      <c r="K100" s="121">
        <f>+H100*12/52</f>
        <v>13.03360701234433</v>
      </c>
    </row>
    <row r="101" spans="1:11" ht="12.75">
      <c r="A101" s="135"/>
      <c r="B101" s="135"/>
      <c r="C101" s="205">
        <v>2</v>
      </c>
      <c r="D101" s="195"/>
      <c r="E101" s="195"/>
      <c r="F101" s="204">
        <f>+F100*2</f>
        <v>124.6</v>
      </c>
      <c r="G101" s="195"/>
      <c r="H101" s="136">
        <f>+F101*(1+$G$92)</f>
        <v>112.95792744031752</v>
      </c>
      <c r="J101" s="121">
        <f>+H101*3</f>
        <v>338.87378232095256</v>
      </c>
      <c r="K101" s="121">
        <f>+H101*12/52</f>
        <v>26.06721402468866</v>
      </c>
    </row>
    <row r="102" spans="1:11" ht="12.75">
      <c r="A102" s="135"/>
      <c r="B102" s="135"/>
      <c r="C102" s="205">
        <v>3</v>
      </c>
      <c r="D102" s="195"/>
      <c r="E102" s="195"/>
      <c r="F102" s="204">
        <f>+F100*3</f>
        <v>186.89999999999998</v>
      </c>
      <c r="G102" s="195"/>
      <c r="H102" s="136">
        <f>+F102*(1+$G$92)</f>
        <v>169.43689116047628</v>
      </c>
      <c r="J102" s="121">
        <f>+H102*3</f>
        <v>508.3106734814288</v>
      </c>
      <c r="K102" s="121">
        <f>+H102*12/52</f>
        <v>39.100821037032986</v>
      </c>
    </row>
    <row r="103" spans="1:11" ht="12.75">
      <c r="A103" s="135"/>
      <c r="B103" s="135"/>
      <c r="C103" s="205">
        <v>4</v>
      </c>
      <c r="D103" s="195"/>
      <c r="E103" s="195"/>
      <c r="F103" s="204">
        <f>+F100*4</f>
        <v>249.2</v>
      </c>
      <c r="G103" s="195"/>
      <c r="H103" s="136">
        <f>+F103*(1+$G$92)</f>
        <v>225.91585488063504</v>
      </c>
      <c r="J103" s="121">
        <f>+H103*3</f>
        <v>677.7475646419051</v>
      </c>
      <c r="K103" s="121">
        <f>+H103*12/52</f>
        <v>52.13442804937732</v>
      </c>
    </row>
    <row r="104" spans="1:8" ht="12.75">
      <c r="A104" s="135"/>
      <c r="B104" s="135"/>
      <c r="C104" s="205"/>
      <c r="D104" s="195"/>
      <c r="E104" s="195"/>
      <c r="F104" s="206"/>
      <c r="G104" s="135"/>
      <c r="H104" s="135"/>
    </row>
    <row r="105" spans="1:8" ht="12.75">
      <c r="A105" s="135"/>
      <c r="B105" s="135"/>
      <c r="C105" s="205"/>
      <c r="D105" s="195"/>
      <c r="E105" s="195"/>
      <c r="F105" s="206"/>
      <c r="G105" s="135"/>
      <c r="H105" s="135"/>
    </row>
    <row r="106" spans="1:8" ht="12.75">
      <c r="A106" s="135"/>
      <c r="B106" s="135"/>
      <c r="C106" s="205"/>
      <c r="D106" s="195"/>
      <c r="E106" s="195"/>
      <c r="F106" s="225" t="s">
        <v>533</v>
      </c>
      <c r="G106" s="225"/>
      <c r="H106" s="225"/>
    </row>
    <row r="107" spans="1:8" ht="12.75">
      <c r="A107" s="195"/>
      <c r="B107" s="135"/>
      <c r="C107" s="135"/>
      <c r="D107" s="195"/>
      <c r="E107" s="195"/>
      <c r="F107" s="207" t="s">
        <v>514</v>
      </c>
      <c r="G107" s="207" t="s">
        <v>515</v>
      </c>
      <c r="H107" s="207" t="s">
        <v>516</v>
      </c>
    </row>
    <row r="108" spans="1:8" ht="12.75">
      <c r="A108" s="201" t="s">
        <v>513</v>
      </c>
      <c r="B108" s="135"/>
      <c r="C108" s="195"/>
      <c r="D108" s="195"/>
      <c r="E108" s="195"/>
      <c r="F108" s="208" t="s">
        <v>535</v>
      </c>
      <c r="G108" s="208" t="s">
        <v>536</v>
      </c>
      <c r="H108" s="208" t="s">
        <v>537</v>
      </c>
    </row>
    <row r="109" spans="1:8" ht="12.75">
      <c r="A109" s="135"/>
      <c r="B109" s="135"/>
      <c r="C109" s="205" t="s">
        <v>517</v>
      </c>
      <c r="D109" s="195"/>
      <c r="E109" s="195"/>
      <c r="F109" s="204">
        <v>223.46</v>
      </c>
      <c r="G109" s="204">
        <v>412.31</v>
      </c>
      <c r="H109" s="204">
        <v>601.17</v>
      </c>
    </row>
    <row r="110" spans="1:8" ht="12.75">
      <c r="A110" s="135"/>
      <c r="B110" s="135"/>
      <c r="C110" s="205" t="s">
        <v>518</v>
      </c>
      <c r="D110" s="195"/>
      <c r="E110" s="195"/>
      <c r="F110" s="204">
        <v>400.8</v>
      </c>
      <c r="G110" s="204">
        <v>778.5</v>
      </c>
      <c r="H110" s="204">
        <v>1156.22</v>
      </c>
    </row>
    <row r="111" spans="1:8" ht="12.75">
      <c r="A111" s="135"/>
      <c r="B111" s="135"/>
      <c r="C111" s="135"/>
      <c r="D111" s="195"/>
      <c r="E111" s="195"/>
      <c r="F111" s="135"/>
      <c r="G111" s="135"/>
      <c r="H111" s="135"/>
    </row>
    <row r="112" spans="1:8" ht="12.75">
      <c r="A112" s="135"/>
      <c r="B112" s="135"/>
      <c r="C112" s="135"/>
      <c r="D112" s="195"/>
      <c r="E112" s="195"/>
      <c r="F112" s="226" t="s">
        <v>534</v>
      </c>
      <c r="G112" s="226"/>
      <c r="H112" s="226"/>
    </row>
    <row r="113" spans="1:8" ht="12.75">
      <c r="A113" s="135"/>
      <c r="B113" s="135"/>
      <c r="C113" s="205" t="s">
        <v>517</v>
      </c>
      <c r="D113" s="195"/>
      <c r="E113" s="195"/>
      <c r="F113" s="136">
        <f aca="true" t="shared" si="7" ref="F113:H114">+F109*(1+$G$92)</f>
        <v>202.5808865635101</v>
      </c>
      <c r="G113" s="136">
        <f t="shared" si="7"/>
        <v>373.7855783540716</v>
      </c>
      <c r="H113" s="136">
        <f t="shared" si="7"/>
        <v>544.9993357888899</v>
      </c>
    </row>
    <row r="114" spans="1:8" ht="12.75">
      <c r="A114" s="135"/>
      <c r="B114" s="135"/>
      <c r="C114" s="205" t="s">
        <v>518</v>
      </c>
      <c r="D114" s="195"/>
      <c r="E114" s="195"/>
      <c r="F114" s="136">
        <f t="shared" si="7"/>
        <v>363.35102181444034</v>
      </c>
      <c r="G114" s="136">
        <f t="shared" si="7"/>
        <v>705.7604053955633</v>
      </c>
      <c r="H114" s="136">
        <f t="shared" si="7"/>
        <v>1048.1879202652</v>
      </c>
    </row>
    <row r="115" spans="1:8" ht="12.75">
      <c r="A115" s="135"/>
      <c r="B115" s="135"/>
      <c r="C115" s="135"/>
      <c r="D115" s="195"/>
      <c r="E115" s="195"/>
      <c r="F115" s="135"/>
      <c r="G115" s="135"/>
      <c r="H115" s="135"/>
    </row>
    <row r="116" spans="1:8" ht="12.75">
      <c r="A116" s="135"/>
      <c r="B116" s="135"/>
      <c r="C116" s="135"/>
      <c r="D116" s="195"/>
      <c r="E116" s="195"/>
      <c r="F116" s="225" t="s">
        <v>533</v>
      </c>
      <c r="G116" s="225"/>
      <c r="H116" s="225"/>
    </row>
    <row r="117" spans="1:8" ht="12.75">
      <c r="A117" s="135"/>
      <c r="B117" s="135"/>
      <c r="C117" s="135"/>
      <c r="D117" s="195"/>
      <c r="E117" s="195"/>
      <c r="F117" s="209" t="s">
        <v>520</v>
      </c>
      <c r="G117" s="209" t="s">
        <v>521</v>
      </c>
      <c r="H117" s="209" t="s">
        <v>522</v>
      </c>
    </row>
    <row r="118" spans="1:8" ht="15">
      <c r="A118" s="210" t="s">
        <v>519</v>
      </c>
      <c r="B118" s="135"/>
      <c r="C118" s="135"/>
      <c r="D118" s="195"/>
      <c r="E118" s="195"/>
      <c r="F118" s="211" t="s">
        <v>538</v>
      </c>
      <c r="G118" s="211" t="s">
        <v>523</v>
      </c>
      <c r="H118" s="211" t="s">
        <v>539</v>
      </c>
    </row>
    <row r="119" spans="1:8" ht="12.75">
      <c r="A119" s="135"/>
      <c r="B119" s="135"/>
      <c r="C119" s="205" t="s">
        <v>517</v>
      </c>
      <c r="D119" s="195"/>
      <c r="E119" s="195"/>
      <c r="F119" s="204">
        <v>202.6</v>
      </c>
      <c r="G119" s="204">
        <v>373.83</v>
      </c>
      <c r="H119" s="204">
        <v>499.03</v>
      </c>
    </row>
    <row r="120" spans="1:8" ht="12.75">
      <c r="A120" s="135"/>
      <c r="B120" s="135"/>
      <c r="C120" s="205" t="s">
        <v>518</v>
      </c>
      <c r="D120" s="195"/>
      <c r="E120" s="195"/>
      <c r="F120" s="204">
        <v>359.08</v>
      </c>
      <c r="G120" s="204">
        <v>701.54</v>
      </c>
      <c r="H120" s="212">
        <v>951.94</v>
      </c>
    </row>
    <row r="121" spans="1:8" ht="12.75">
      <c r="A121" s="135"/>
      <c r="B121" s="135"/>
      <c r="C121" s="135"/>
      <c r="D121" s="195"/>
      <c r="E121" s="195"/>
      <c r="F121" s="135"/>
      <c r="G121" s="135"/>
      <c r="H121" s="135"/>
    </row>
    <row r="122" spans="1:8" ht="12.75">
      <c r="A122" s="135"/>
      <c r="B122" s="135"/>
      <c r="C122" s="135"/>
      <c r="D122" s="195"/>
      <c r="E122" s="195"/>
      <c r="F122" s="226" t="s">
        <v>534</v>
      </c>
      <c r="G122" s="226"/>
      <c r="H122" s="226"/>
    </row>
    <row r="123" spans="1:8" ht="12.75">
      <c r="A123" s="135"/>
      <c r="B123" s="135"/>
      <c r="C123" s="205" t="s">
        <v>517</v>
      </c>
      <c r="D123" s="195"/>
      <c r="E123" s="195"/>
      <c r="F123" s="136">
        <f aca="true" t="shared" si="8" ref="F123:H124">+F119*(1+$G$92)</f>
        <v>183.66995264372656</v>
      </c>
      <c r="G123" s="136">
        <f t="shared" si="8"/>
        <v>338.9009792537231</v>
      </c>
      <c r="H123" s="136">
        <f t="shared" si="8"/>
        <v>452.40284534945147</v>
      </c>
    </row>
    <row r="124" spans="1:8" ht="12.75">
      <c r="A124" s="135"/>
      <c r="B124" s="135"/>
      <c r="C124" s="205" t="s">
        <v>518</v>
      </c>
      <c r="D124" s="195"/>
      <c r="E124" s="195"/>
      <c r="F124" s="136">
        <f t="shared" si="8"/>
        <v>325.52915397487334</v>
      </c>
      <c r="G124" s="136">
        <f t="shared" si="8"/>
        <v>635.9912071948664</v>
      </c>
      <c r="H124" s="136">
        <f t="shared" si="8"/>
        <v>862.9949393863233</v>
      </c>
    </row>
    <row r="125" spans="1:8" ht="12.75">
      <c r="A125" s="124"/>
      <c r="B125" s="124"/>
      <c r="C125" s="191"/>
      <c r="D125" s="121"/>
      <c r="E125" s="121"/>
      <c r="F125" s="121"/>
      <c r="G125" s="124"/>
      <c r="H125" s="124"/>
    </row>
    <row r="126" spans="1:8" ht="12.75" hidden="1">
      <c r="A126" s="169"/>
      <c r="B126" s="213" t="s">
        <v>508</v>
      </c>
      <c r="C126" s="191"/>
      <c r="D126" s="121"/>
      <c r="E126" s="121"/>
      <c r="F126" s="121"/>
      <c r="G126" s="124"/>
      <c r="H126" s="124"/>
    </row>
    <row r="127" spans="1:8" ht="12.75" hidden="1">
      <c r="A127" s="227" t="s">
        <v>507</v>
      </c>
      <c r="B127" s="214" t="s">
        <v>525</v>
      </c>
      <c r="C127" s="191"/>
      <c r="D127" s="121"/>
      <c r="E127" s="121"/>
      <c r="F127" s="121"/>
      <c r="G127" s="124"/>
      <c r="H127" s="124"/>
    </row>
    <row r="128" spans="1:8" ht="12.75" hidden="1">
      <c r="A128" s="227"/>
      <c r="B128" s="215" t="s">
        <v>526</v>
      </c>
      <c r="C128" s="191"/>
      <c r="D128" s="121"/>
      <c r="E128" s="121"/>
      <c r="F128" s="121"/>
      <c r="G128" s="124"/>
      <c r="H128" s="124"/>
    </row>
    <row r="129" spans="1:8" ht="12.75" hidden="1">
      <c r="A129" s="227"/>
      <c r="B129" s="191" t="s">
        <v>527</v>
      </c>
      <c r="C129" s="191"/>
      <c r="D129" s="121"/>
      <c r="E129" s="121"/>
      <c r="F129" s="121"/>
      <c r="G129" s="124"/>
      <c r="H129" s="124"/>
    </row>
    <row r="130" spans="1:8" ht="12.75" hidden="1">
      <c r="A130" s="227" t="s">
        <v>507</v>
      </c>
      <c r="B130" s="191" t="s">
        <v>528</v>
      </c>
      <c r="C130" s="191"/>
      <c r="D130" s="121"/>
      <c r="E130" s="121"/>
      <c r="F130" s="121"/>
      <c r="G130" s="124"/>
      <c r="H130" s="124"/>
    </row>
    <row r="131" spans="1:8" ht="12.75" hidden="1">
      <c r="A131" s="227"/>
      <c r="B131" s="191" t="s">
        <v>529</v>
      </c>
      <c r="C131" s="191"/>
      <c r="D131" s="121"/>
      <c r="E131" s="121"/>
      <c r="F131" s="121"/>
      <c r="G131" s="124"/>
      <c r="H131" s="124"/>
    </row>
    <row r="132" spans="1:8" ht="12.75" hidden="1">
      <c r="A132" s="227"/>
      <c r="B132" s="188" t="s">
        <v>530</v>
      </c>
      <c r="C132" s="191"/>
      <c r="D132" s="121"/>
      <c r="E132" s="121"/>
      <c r="F132" s="121"/>
      <c r="G132" s="124"/>
      <c r="H132" s="124"/>
    </row>
    <row r="133" spans="1:8" ht="12.75">
      <c r="A133" s="200" t="s">
        <v>559</v>
      </c>
      <c r="B133" s="135"/>
      <c r="C133" s="135"/>
      <c r="D133" s="225" t="s">
        <v>533</v>
      </c>
      <c r="E133" s="225"/>
      <c r="F133" s="225"/>
      <c r="G133" s="124"/>
      <c r="H133" s="124"/>
    </row>
    <row r="134" spans="1:8" ht="12.75">
      <c r="A134" s="135"/>
      <c r="B134" s="135" t="s">
        <v>560</v>
      </c>
      <c r="C134" s="135"/>
      <c r="D134" s="135" t="s">
        <v>561</v>
      </c>
      <c r="E134" s="135"/>
      <c r="F134" s="136">
        <v>217</v>
      </c>
      <c r="G134" s="124"/>
      <c r="H134" s="124"/>
    </row>
    <row r="135" spans="1:6" ht="12.75">
      <c r="A135" s="135"/>
      <c r="B135" s="135" t="s">
        <v>562</v>
      </c>
      <c r="C135" s="135"/>
      <c r="D135" s="135" t="s">
        <v>564</v>
      </c>
      <c r="E135" s="135"/>
      <c r="F135" s="136">
        <v>60</v>
      </c>
    </row>
    <row r="136" spans="1:6" ht="12.75">
      <c r="A136" s="135"/>
      <c r="B136" s="135" t="s">
        <v>563</v>
      </c>
      <c r="C136" s="135"/>
      <c r="D136" s="135" t="s">
        <v>564</v>
      </c>
      <c r="E136" s="135"/>
      <c r="F136" s="136">
        <v>5</v>
      </c>
    </row>
    <row r="137" spans="1:6" ht="12.75">
      <c r="A137" s="135"/>
      <c r="B137" s="135"/>
      <c r="C137" s="135"/>
      <c r="D137" s="135"/>
      <c r="E137" s="135"/>
      <c r="F137" s="135"/>
    </row>
    <row r="138" spans="1:6" ht="12.75">
      <c r="A138" s="135"/>
      <c r="B138" s="135"/>
      <c r="C138" s="135"/>
      <c r="D138" s="226" t="s">
        <v>534</v>
      </c>
      <c r="E138" s="226"/>
      <c r="F138" s="226"/>
    </row>
    <row r="139" spans="1:6" ht="12.75">
      <c r="A139" s="135"/>
      <c r="B139" s="135" t="s">
        <v>560</v>
      </c>
      <c r="C139" s="135"/>
      <c r="D139" s="135" t="s">
        <v>561</v>
      </c>
      <c r="E139" s="135"/>
      <c r="F139" s="136">
        <f>+F134*(1+$G$92)</f>
        <v>196.72448037358672</v>
      </c>
    </row>
    <row r="140" spans="1:6" ht="12.75">
      <c r="A140" s="135"/>
      <c r="B140" s="135" t="s">
        <v>562</v>
      </c>
      <c r="C140" s="135"/>
      <c r="D140" s="135" t="s">
        <v>564</v>
      </c>
      <c r="E140" s="135"/>
      <c r="F140" s="136">
        <f>+F135*(1+$G$92)</f>
        <v>54.39386554108388</v>
      </c>
    </row>
    <row r="141" spans="1:6" ht="12.75">
      <c r="A141" s="135"/>
      <c r="B141" s="135" t="s">
        <v>563</v>
      </c>
      <c r="C141" s="135"/>
      <c r="D141" s="135" t="s">
        <v>564</v>
      </c>
      <c r="E141" s="135"/>
      <c r="F141" s="136">
        <f>+F136*(1+$G$92)</f>
        <v>4.532822128423657</v>
      </c>
    </row>
    <row r="142" ht="12.75">
      <c r="F142" s="136"/>
    </row>
    <row r="143" ht="12.75">
      <c r="F143" s="136"/>
    </row>
  </sheetData>
  <mergeCells count="14">
    <mergeCell ref="D7:G7"/>
    <mergeCell ref="D17:G17"/>
    <mergeCell ref="D32:G32"/>
    <mergeCell ref="D23:G23"/>
    <mergeCell ref="A127:A129"/>
    <mergeCell ref="A130:A132"/>
    <mergeCell ref="D65:H65"/>
    <mergeCell ref="D40:H41"/>
    <mergeCell ref="F106:H106"/>
    <mergeCell ref="F112:H112"/>
    <mergeCell ref="D133:F133"/>
    <mergeCell ref="D138:F138"/>
    <mergeCell ref="F116:H116"/>
    <mergeCell ref="F122:H122"/>
  </mergeCells>
  <printOptions/>
  <pageMargins left="0.75" right="0.75" top="1" bottom="1" header="0.5" footer="0.5"/>
  <pageSetup cellComments="asDisplayed" horizontalDpi="300" verticalDpi="300" orientation="portrait" r:id="rId1"/>
  <rowBreaks count="2" manualBreakCount="2">
    <brk id="35" max="255" man="1"/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I66"/>
  <sheetViews>
    <sheetView view="pageBreakPreview" zoomScaleSheetLayoutView="100" workbookViewId="0" topLeftCell="A1">
      <selection activeCell="G65" sqref="G65"/>
    </sheetView>
  </sheetViews>
  <sheetFormatPr defaultColWidth="9.140625" defaultRowHeight="12.75"/>
  <cols>
    <col min="1" max="1" width="9.140625" style="34" customWidth="1"/>
    <col min="2" max="2" width="5.421875" style="34" customWidth="1"/>
    <col min="3" max="3" width="18.28125" style="34" customWidth="1"/>
    <col min="4" max="4" width="16.57421875" style="34" customWidth="1"/>
    <col min="5" max="7" width="9.140625" style="34" customWidth="1"/>
    <col min="8" max="9" width="0" style="34" hidden="1" customWidth="1"/>
    <col min="10" max="16384" width="9.140625" style="34" customWidth="1"/>
  </cols>
  <sheetData>
    <row r="3" spans="1:7" ht="12.75">
      <c r="A3" s="110"/>
      <c r="B3" s="110"/>
      <c r="C3" s="110"/>
      <c r="D3" s="110"/>
      <c r="E3" s="110"/>
      <c r="F3" s="110"/>
      <c r="G3" s="110"/>
    </row>
    <row r="4" spans="1:7" ht="12.75">
      <c r="A4" s="110"/>
      <c r="B4" s="110"/>
      <c r="C4" s="110"/>
      <c r="D4" s="110"/>
      <c r="E4" s="110"/>
      <c r="F4" s="110"/>
      <c r="G4" s="110"/>
    </row>
    <row r="5" spans="1:7" ht="12.75">
      <c r="A5" s="113"/>
      <c r="B5" s="112" t="s">
        <v>331</v>
      </c>
      <c r="C5" s="113"/>
      <c r="D5" s="113"/>
      <c r="E5" s="113"/>
      <c r="F5" s="113"/>
      <c r="G5" s="109">
        <v>2007</v>
      </c>
    </row>
    <row r="6" spans="1:7" ht="12.75">
      <c r="A6" s="110"/>
      <c r="B6" s="110"/>
      <c r="C6" s="110"/>
      <c r="D6" s="110"/>
      <c r="E6" s="110" t="s">
        <v>325</v>
      </c>
      <c r="F6" s="124"/>
      <c r="G6" s="111">
        <f>+'Method - A'!M51</f>
        <v>-0.09343557431526865</v>
      </c>
    </row>
    <row r="7" spans="1:9" ht="12.75">
      <c r="A7" s="110"/>
      <c r="B7" s="110"/>
      <c r="C7" s="110"/>
      <c r="D7" s="110"/>
      <c r="E7" s="110" t="s">
        <v>430</v>
      </c>
      <c r="F7" s="110"/>
      <c r="G7" s="114">
        <v>4.333</v>
      </c>
      <c r="H7" s="185" t="s">
        <v>499</v>
      </c>
      <c r="I7" s="124"/>
    </row>
    <row r="8" spans="1:9" ht="12.75">
      <c r="A8" s="110"/>
      <c r="B8" s="115" t="s">
        <v>335</v>
      </c>
      <c r="C8" s="113"/>
      <c r="D8" s="113"/>
      <c r="E8" s="113"/>
      <c r="F8" s="116"/>
      <c r="G8" s="113"/>
      <c r="H8" s="109">
        <v>2007</v>
      </c>
      <c r="I8" s="109">
        <v>2007</v>
      </c>
    </row>
    <row r="9" spans="1:9" ht="12.75">
      <c r="A9" s="110"/>
      <c r="B9" s="110"/>
      <c r="C9" s="110"/>
      <c r="D9" s="110"/>
      <c r="E9" s="221" t="s">
        <v>200</v>
      </c>
      <c r="F9" s="116"/>
      <c r="G9" s="109">
        <v>2007</v>
      </c>
      <c r="H9" s="184" t="s">
        <v>500</v>
      </c>
      <c r="I9" s="184" t="s">
        <v>500</v>
      </c>
    </row>
    <row r="10" spans="1:9" ht="12.75">
      <c r="A10" s="110"/>
      <c r="B10" s="118" t="s">
        <v>337</v>
      </c>
      <c r="C10" s="110"/>
      <c r="D10" s="110"/>
      <c r="E10" s="132" t="s">
        <v>501</v>
      </c>
      <c r="F10" s="116"/>
      <c r="G10" s="132" t="s">
        <v>501</v>
      </c>
      <c r="H10" s="116" t="s">
        <v>502</v>
      </c>
      <c r="I10" s="116" t="s">
        <v>503</v>
      </c>
    </row>
    <row r="11" spans="1:9" ht="12.75">
      <c r="A11" s="110"/>
      <c r="B11" s="110" t="s">
        <v>435</v>
      </c>
      <c r="C11" s="110"/>
      <c r="D11" s="110"/>
      <c r="E11" s="121"/>
      <c r="F11" s="110"/>
      <c r="G11" s="121"/>
      <c r="H11" s="124"/>
      <c r="I11" s="124"/>
    </row>
    <row r="12" spans="1:9" ht="12.75">
      <c r="A12" s="110"/>
      <c r="B12" s="110"/>
      <c r="C12" s="110"/>
      <c r="D12" s="110"/>
      <c r="E12" s="121"/>
      <c r="F12" s="110"/>
      <c r="G12" s="121"/>
      <c r="H12" s="124"/>
      <c r="I12" s="124"/>
    </row>
    <row r="13" spans="1:7" ht="12.75">
      <c r="A13" s="110"/>
      <c r="B13" s="110" t="s">
        <v>343</v>
      </c>
      <c r="C13" s="110"/>
      <c r="E13" s="121"/>
      <c r="F13" s="110"/>
      <c r="G13" s="121"/>
    </row>
    <row r="14" spans="1:9" ht="12.75">
      <c r="A14" s="110"/>
      <c r="B14" s="110"/>
      <c r="C14" s="110" t="s">
        <v>422</v>
      </c>
      <c r="E14" s="121">
        <v>35.98</v>
      </c>
      <c r="F14" s="121"/>
      <c r="G14" s="121">
        <f>ROUND(E14*(1+$G$6),2)</f>
        <v>32.62</v>
      </c>
      <c r="H14" s="121">
        <f>+G14*3</f>
        <v>97.85999999999999</v>
      </c>
      <c r="I14" s="121">
        <f>+G14*12/52</f>
        <v>7.527692307692306</v>
      </c>
    </row>
    <row r="15" spans="1:9" ht="12.75">
      <c r="A15" s="110"/>
      <c r="B15" s="110"/>
      <c r="C15" s="110" t="s">
        <v>421</v>
      </c>
      <c r="E15" s="121">
        <v>71.96</v>
      </c>
      <c r="F15" s="121"/>
      <c r="G15" s="121">
        <f aca="true" t="shared" si="0" ref="G15:G23">ROUND(E15*(1+$G$6),2)</f>
        <v>65.24</v>
      </c>
      <c r="H15" s="121">
        <f>+G15*3</f>
        <v>195.71999999999997</v>
      </c>
      <c r="I15" s="121">
        <f>+G15*12/52</f>
        <v>15.055384615384613</v>
      </c>
    </row>
    <row r="16" spans="1:9" ht="12.75">
      <c r="A16" s="110"/>
      <c r="B16" s="110"/>
      <c r="C16" s="110" t="s">
        <v>423</v>
      </c>
      <c r="E16" s="121">
        <v>107.94</v>
      </c>
      <c r="F16" s="121"/>
      <c r="G16" s="121">
        <f t="shared" si="0"/>
        <v>97.85</v>
      </c>
      <c r="H16" s="121">
        <f>+G16*3</f>
        <v>293.54999999999995</v>
      </c>
      <c r="I16" s="121">
        <f>+G16*12/52</f>
        <v>22.580769230769228</v>
      </c>
    </row>
    <row r="17" spans="1:9" ht="12.75">
      <c r="A17" s="110"/>
      <c r="B17" s="110"/>
      <c r="C17" s="110" t="s">
        <v>504</v>
      </c>
      <c r="E17" s="121">
        <v>10.38</v>
      </c>
      <c r="F17" s="121"/>
      <c r="G17" s="121">
        <f t="shared" si="0"/>
        <v>9.41</v>
      </c>
      <c r="H17" s="121">
        <f>+G17*3</f>
        <v>28.23</v>
      </c>
      <c r="I17" s="121">
        <f>+G17*12/52</f>
        <v>2.1715384615384616</v>
      </c>
    </row>
    <row r="18" spans="1:9" ht="12.75">
      <c r="A18" s="110"/>
      <c r="B18" s="110"/>
      <c r="C18" s="110"/>
      <c r="D18" s="110"/>
      <c r="E18" s="121"/>
      <c r="F18" s="121"/>
      <c r="G18" s="121"/>
      <c r="H18" s="124"/>
      <c r="I18" s="124"/>
    </row>
    <row r="19" spans="1:9" ht="12.75">
      <c r="A19" s="110"/>
      <c r="B19" s="110" t="s">
        <v>377</v>
      </c>
      <c r="D19" s="110"/>
      <c r="E19" s="121"/>
      <c r="F19" s="110"/>
      <c r="G19" s="121"/>
      <c r="H19" s="124"/>
      <c r="I19" s="124"/>
    </row>
    <row r="20" spans="1:9" ht="12.75">
      <c r="A20" s="110"/>
      <c r="B20" s="110"/>
      <c r="C20" s="110" t="s">
        <v>422</v>
      </c>
      <c r="E20" s="121">
        <v>37.64</v>
      </c>
      <c r="F20" s="121"/>
      <c r="G20" s="121">
        <f t="shared" si="0"/>
        <v>34.12</v>
      </c>
      <c r="H20" s="121">
        <f>+G20*3</f>
        <v>102.35999999999999</v>
      </c>
      <c r="I20" s="121">
        <f>+G20*12/52</f>
        <v>7.873846153846153</v>
      </c>
    </row>
    <row r="21" spans="1:9" ht="12.75">
      <c r="A21" s="110"/>
      <c r="B21" s="110"/>
      <c r="C21" s="110" t="s">
        <v>421</v>
      </c>
      <c r="E21" s="121">
        <v>75.28</v>
      </c>
      <c r="F21" s="121"/>
      <c r="G21" s="121">
        <f t="shared" si="0"/>
        <v>68.25</v>
      </c>
      <c r="H21" s="121">
        <f>+G21*3</f>
        <v>204.75</v>
      </c>
      <c r="I21" s="121">
        <f>+G21*12/52</f>
        <v>15.75</v>
      </c>
    </row>
    <row r="22" spans="1:9" ht="12.75">
      <c r="A22" s="110"/>
      <c r="B22" s="110"/>
      <c r="C22" s="110" t="s">
        <v>423</v>
      </c>
      <c r="E22" s="121">
        <v>112.92</v>
      </c>
      <c r="F22" s="121"/>
      <c r="G22" s="121">
        <f t="shared" si="0"/>
        <v>102.37</v>
      </c>
      <c r="H22" s="121">
        <f>+G22*3</f>
        <v>307.11</v>
      </c>
      <c r="I22" s="121">
        <f>+G22*12/52</f>
        <v>23.623846153846156</v>
      </c>
    </row>
    <row r="23" spans="1:9" ht="12.75">
      <c r="A23" s="110"/>
      <c r="B23" s="110"/>
      <c r="C23" s="110" t="s">
        <v>504</v>
      </c>
      <c r="E23" s="121">
        <v>10.86</v>
      </c>
      <c r="F23" s="110"/>
      <c r="G23" s="121">
        <f t="shared" si="0"/>
        <v>9.85</v>
      </c>
      <c r="H23" s="121">
        <f>+G23*3</f>
        <v>29.549999999999997</v>
      </c>
      <c r="I23" s="121">
        <f>+G23*12/52</f>
        <v>2.273076923076923</v>
      </c>
    </row>
    <row r="24" spans="1:7" ht="12.75">
      <c r="A24" s="110"/>
      <c r="B24" s="110"/>
      <c r="C24" s="110"/>
      <c r="D24" s="110"/>
      <c r="E24" s="121"/>
      <c r="F24" s="110"/>
      <c r="G24" s="110"/>
    </row>
    <row r="25" spans="1:7" ht="12.75">
      <c r="A25" s="110"/>
      <c r="B25" s="110"/>
      <c r="C25" s="110"/>
      <c r="D25" s="110"/>
      <c r="E25" s="121"/>
      <c r="F25" s="110"/>
      <c r="G25" s="110"/>
    </row>
    <row r="26" spans="1:7" ht="12.75">
      <c r="A26" s="134"/>
      <c r="B26" s="110" t="s">
        <v>427</v>
      </c>
      <c r="C26" s="110" t="s">
        <v>428</v>
      </c>
      <c r="D26" s="110"/>
      <c r="E26" s="110"/>
      <c r="F26" s="110"/>
      <c r="G26" s="110"/>
    </row>
    <row r="27" spans="1:7" ht="12.75">
      <c r="A27" s="110"/>
      <c r="B27" s="110"/>
      <c r="C27" s="110"/>
      <c r="D27" s="110"/>
      <c r="E27" s="110"/>
      <c r="F27" s="110"/>
      <c r="G27" s="110"/>
    </row>
    <row r="28" spans="1:7" ht="12.75">
      <c r="A28" s="112" t="s">
        <v>558</v>
      </c>
      <c r="B28" s="113"/>
      <c r="C28" s="113"/>
      <c r="D28" s="113"/>
      <c r="E28" s="109">
        <v>2007</v>
      </c>
      <c r="F28" s="110"/>
      <c r="G28" s="110"/>
    </row>
    <row r="29" spans="1:7" ht="12.75">
      <c r="A29" s="110"/>
      <c r="B29" s="110"/>
      <c r="C29" s="110"/>
      <c r="D29" s="110" t="s">
        <v>325</v>
      </c>
      <c r="E29" s="111">
        <f>+'Method - A'!M51</f>
        <v>-0.09343557431526865</v>
      </c>
      <c r="F29" s="110"/>
      <c r="G29" s="110"/>
    </row>
    <row r="30" spans="1:6" ht="12.75">
      <c r="A30" s="110"/>
      <c r="B30" s="110"/>
      <c r="C30" s="110"/>
      <c r="D30" s="110" t="s">
        <v>333</v>
      </c>
      <c r="E30" s="114">
        <v>4.333</v>
      </c>
      <c r="F30" s="110"/>
    </row>
    <row r="31" spans="1:6" ht="12.75">
      <c r="A31" s="110"/>
      <c r="B31" s="110"/>
      <c r="C31" s="110"/>
      <c r="D31" s="110"/>
      <c r="E31" s="121"/>
      <c r="F31" s="110"/>
    </row>
    <row r="32" spans="1:6" ht="12.75">
      <c r="A32" s="110"/>
      <c r="B32" s="198" t="s">
        <v>334</v>
      </c>
      <c r="C32" s="192"/>
      <c r="D32" s="192"/>
      <c r="E32" s="222" t="s">
        <v>200</v>
      </c>
      <c r="F32" s="193">
        <v>2007</v>
      </c>
    </row>
    <row r="33" spans="2:6" ht="12.75">
      <c r="B33" s="134"/>
      <c r="C33" s="134"/>
      <c r="D33" s="134"/>
      <c r="E33" s="222" t="s">
        <v>170</v>
      </c>
      <c r="F33" s="223" t="s">
        <v>500</v>
      </c>
    </row>
    <row r="34" spans="2:6" ht="12.75">
      <c r="B34" s="199" t="s">
        <v>337</v>
      </c>
      <c r="C34" s="134"/>
      <c r="D34" s="134"/>
      <c r="E34" s="222" t="s">
        <v>172</v>
      </c>
      <c r="F34" s="222" t="s">
        <v>501</v>
      </c>
    </row>
    <row r="35" spans="2:6" ht="12.75">
      <c r="B35" s="134" t="s">
        <v>342</v>
      </c>
      <c r="C35" s="134"/>
      <c r="D35" s="135"/>
      <c r="E35" s="136"/>
      <c r="F35" s="136"/>
    </row>
    <row r="36" spans="2:6" ht="12.75">
      <c r="B36" s="134"/>
      <c r="C36" s="134" t="s">
        <v>424</v>
      </c>
      <c r="D36" s="135"/>
      <c r="E36" s="136"/>
      <c r="F36" s="136"/>
    </row>
    <row r="37" spans="2:6" ht="12.75">
      <c r="B37" s="134"/>
      <c r="C37" s="134"/>
      <c r="D37" s="134" t="s">
        <v>354</v>
      </c>
      <c r="E37" s="136">
        <v>790.8</v>
      </c>
      <c r="F37" s="136">
        <f>E37*(1+$E$29)</f>
        <v>716.9111478314856</v>
      </c>
    </row>
    <row r="38" spans="2:6" ht="12.75">
      <c r="B38" s="134"/>
      <c r="C38" s="134"/>
      <c r="D38" s="134" t="s">
        <v>357</v>
      </c>
      <c r="E38" s="136">
        <v>115.49</v>
      </c>
      <c r="F38" s="136">
        <f aca="true" t="shared" si="1" ref="F38:F56">E38*(1+$E$29)</f>
        <v>104.69912552232962</v>
      </c>
    </row>
    <row r="39" spans="2:6" ht="12.75">
      <c r="B39" s="134"/>
      <c r="C39" s="134"/>
      <c r="D39" s="134" t="s">
        <v>360</v>
      </c>
      <c r="E39" s="136">
        <v>227.91</v>
      </c>
      <c r="F39" s="136">
        <f t="shared" si="1"/>
        <v>206.61509825780712</v>
      </c>
    </row>
    <row r="40" spans="2:6" ht="12.75">
      <c r="B40" s="134"/>
      <c r="C40" s="134"/>
      <c r="D40" s="134" t="s">
        <v>362</v>
      </c>
      <c r="E40" s="136">
        <v>136.75</v>
      </c>
      <c r="F40" s="136">
        <f t="shared" si="1"/>
        <v>123.97268521238702</v>
      </c>
    </row>
    <row r="41" spans="2:6" ht="12.75">
      <c r="B41" s="134"/>
      <c r="C41" s="134"/>
      <c r="D41" s="134" t="s">
        <v>365</v>
      </c>
      <c r="E41" s="136">
        <v>41.63</v>
      </c>
      <c r="F41" s="136">
        <f t="shared" si="1"/>
        <v>37.74027704125537</v>
      </c>
    </row>
    <row r="42" spans="2:6" ht="12.75">
      <c r="B42" s="134"/>
      <c r="C42" s="135"/>
      <c r="D42" s="134" t="s">
        <v>368</v>
      </c>
      <c r="E42" s="136">
        <v>11.13</v>
      </c>
      <c r="F42" s="136">
        <f t="shared" si="1"/>
        <v>10.09006205787106</v>
      </c>
    </row>
    <row r="43" spans="2:6" ht="12.75">
      <c r="B43" s="134"/>
      <c r="C43" s="134" t="s">
        <v>425</v>
      </c>
      <c r="D43" s="135"/>
      <c r="E43" s="136"/>
      <c r="F43" s="136"/>
    </row>
    <row r="44" spans="2:6" ht="12.75">
      <c r="B44" s="134"/>
      <c r="C44" s="134"/>
      <c r="D44" s="134" t="s">
        <v>354</v>
      </c>
      <c r="E44" s="136">
        <v>1096.07</v>
      </c>
      <c r="F44" s="136">
        <f t="shared" si="1"/>
        <v>993.6580700602635</v>
      </c>
    </row>
    <row r="45" spans="2:6" ht="12.75">
      <c r="B45" s="134"/>
      <c r="C45" s="134"/>
      <c r="D45" s="134" t="s">
        <v>357</v>
      </c>
      <c r="E45" s="136">
        <v>115.49</v>
      </c>
      <c r="F45" s="136">
        <f t="shared" si="1"/>
        <v>104.69912552232962</v>
      </c>
    </row>
    <row r="46" spans="2:6" ht="12.75">
      <c r="B46" s="134"/>
      <c r="C46" s="134"/>
      <c r="D46" s="134" t="s">
        <v>360</v>
      </c>
      <c r="E46" s="136">
        <v>227.91</v>
      </c>
      <c r="F46" s="136">
        <f t="shared" si="1"/>
        <v>206.61509825780712</v>
      </c>
    </row>
    <row r="47" spans="2:6" ht="12.75">
      <c r="B47" s="134"/>
      <c r="C47" s="134"/>
      <c r="D47" s="134" t="s">
        <v>362</v>
      </c>
      <c r="E47" s="136">
        <v>136.75</v>
      </c>
      <c r="F47" s="136">
        <f t="shared" si="1"/>
        <v>123.97268521238702</v>
      </c>
    </row>
    <row r="48" spans="2:6" ht="12.75">
      <c r="B48" s="134"/>
      <c r="C48" s="134"/>
      <c r="D48" s="134" t="s">
        <v>365</v>
      </c>
      <c r="E48" s="136">
        <v>41.63</v>
      </c>
      <c r="F48" s="136">
        <f t="shared" si="1"/>
        <v>37.74027704125537</v>
      </c>
    </row>
    <row r="49" spans="2:6" ht="12.75">
      <c r="B49" s="134"/>
      <c r="C49" s="135"/>
      <c r="D49" s="134" t="s">
        <v>368</v>
      </c>
      <c r="E49" s="136">
        <v>11.13</v>
      </c>
      <c r="F49" s="136">
        <f t="shared" si="1"/>
        <v>10.09006205787106</v>
      </c>
    </row>
    <row r="50" spans="2:6" ht="12.75">
      <c r="B50" s="134"/>
      <c r="C50" s="134" t="s">
        <v>426</v>
      </c>
      <c r="D50" s="134"/>
      <c r="E50" s="136"/>
      <c r="F50" s="136"/>
    </row>
    <row r="51" spans="2:6" ht="12.75">
      <c r="B51" s="134"/>
      <c r="C51" s="134"/>
      <c r="D51" s="134" t="s">
        <v>354</v>
      </c>
      <c r="E51" s="136">
        <v>1285.45</v>
      </c>
      <c r="F51" s="136">
        <f t="shared" si="1"/>
        <v>1165.343240996438</v>
      </c>
    </row>
    <row r="52" spans="2:6" ht="12.75">
      <c r="B52" s="134"/>
      <c r="C52" s="135"/>
      <c r="D52" s="134" t="s">
        <v>357</v>
      </c>
      <c r="E52" s="136">
        <v>115.49</v>
      </c>
      <c r="F52" s="136">
        <f t="shared" si="1"/>
        <v>104.69912552232962</v>
      </c>
    </row>
    <row r="53" spans="2:6" ht="12.75">
      <c r="B53" s="134"/>
      <c r="C53" s="134"/>
      <c r="D53" s="134" t="s">
        <v>360</v>
      </c>
      <c r="E53" s="136">
        <v>227.91</v>
      </c>
      <c r="F53" s="136">
        <f t="shared" si="1"/>
        <v>206.61509825780712</v>
      </c>
    </row>
    <row r="54" spans="2:6" ht="12.75">
      <c r="B54" s="134"/>
      <c r="C54" s="134"/>
      <c r="D54" s="134" t="s">
        <v>362</v>
      </c>
      <c r="E54" s="136">
        <v>136.75</v>
      </c>
      <c r="F54" s="136">
        <f t="shared" si="1"/>
        <v>123.97268521238702</v>
      </c>
    </row>
    <row r="55" spans="2:6" ht="12.75">
      <c r="B55" s="134"/>
      <c r="C55" s="134"/>
      <c r="D55" s="134" t="s">
        <v>365</v>
      </c>
      <c r="E55" s="136">
        <v>41.63</v>
      </c>
      <c r="F55" s="136">
        <f t="shared" si="1"/>
        <v>37.74027704125537</v>
      </c>
    </row>
    <row r="56" spans="2:6" ht="12.75">
      <c r="B56" s="134"/>
      <c r="C56" s="134"/>
      <c r="D56" s="134" t="s">
        <v>368</v>
      </c>
      <c r="E56" s="136">
        <v>11.13</v>
      </c>
      <c r="F56" s="136">
        <f t="shared" si="1"/>
        <v>10.09006205787106</v>
      </c>
    </row>
    <row r="58" spans="1:6" ht="12.75">
      <c r="A58" s="200" t="s">
        <v>559</v>
      </c>
      <c r="B58" s="135"/>
      <c r="C58" s="135"/>
      <c r="D58" s="225" t="s">
        <v>533</v>
      </c>
      <c r="E58" s="225"/>
      <c r="F58" s="225"/>
    </row>
    <row r="59" spans="1:6" ht="12.75">
      <c r="A59" s="135"/>
      <c r="B59" s="135" t="s">
        <v>560</v>
      </c>
      <c r="C59" s="135"/>
      <c r="D59" s="135" t="s">
        <v>561</v>
      </c>
      <c r="E59" s="135"/>
      <c r="F59" s="136">
        <v>217</v>
      </c>
    </row>
    <row r="60" spans="1:6" ht="12.75">
      <c r="A60" s="135"/>
      <c r="B60" s="135" t="s">
        <v>562</v>
      </c>
      <c r="C60" s="135"/>
      <c r="D60" s="135" t="s">
        <v>564</v>
      </c>
      <c r="E60" s="135"/>
      <c r="F60" s="136">
        <v>60</v>
      </c>
    </row>
    <row r="61" spans="1:6" ht="12.75">
      <c r="A61" s="135"/>
      <c r="B61" s="135" t="s">
        <v>563</v>
      </c>
      <c r="C61" s="135"/>
      <c r="D61" s="135" t="s">
        <v>564</v>
      </c>
      <c r="E61" s="135"/>
      <c r="F61" s="136">
        <v>5</v>
      </c>
    </row>
    <row r="62" spans="1:6" ht="12.75">
      <c r="A62" s="135"/>
      <c r="B62" s="135"/>
      <c r="C62" s="135"/>
      <c r="D62" s="135"/>
      <c r="E62" s="135"/>
      <c r="F62" s="135"/>
    </row>
    <row r="63" spans="1:6" ht="12.75">
      <c r="A63" s="135"/>
      <c r="B63" s="135"/>
      <c r="C63" s="135"/>
      <c r="D63" s="226" t="s">
        <v>534</v>
      </c>
      <c r="E63" s="226"/>
      <c r="F63" s="226"/>
    </row>
    <row r="64" spans="1:6" ht="12.75">
      <c r="A64" s="135"/>
      <c r="B64" s="135" t="s">
        <v>560</v>
      </c>
      <c r="C64" s="135"/>
      <c r="D64" s="135" t="s">
        <v>561</v>
      </c>
      <c r="E64" s="135"/>
      <c r="F64" s="136">
        <f>+F59*(1+$E$29)</f>
        <v>196.72448037358672</v>
      </c>
    </row>
    <row r="65" spans="1:6" ht="12.75">
      <c r="A65" s="135"/>
      <c r="B65" s="135" t="s">
        <v>562</v>
      </c>
      <c r="C65" s="135"/>
      <c r="D65" s="135" t="s">
        <v>564</v>
      </c>
      <c r="E65" s="135"/>
      <c r="F65" s="136">
        <f>+F60*(1+$E$29)</f>
        <v>54.39386554108388</v>
      </c>
    </row>
    <row r="66" spans="1:6" ht="12.75">
      <c r="A66" s="135"/>
      <c r="B66" s="135" t="s">
        <v>563</v>
      </c>
      <c r="C66" s="135"/>
      <c r="D66" s="135" t="s">
        <v>564</v>
      </c>
      <c r="E66" s="135"/>
      <c r="F66" s="136">
        <f>+F61*(1+$E$29)</f>
        <v>4.532822128423657</v>
      </c>
    </row>
  </sheetData>
  <mergeCells count="2">
    <mergeCell ref="D58:F58"/>
    <mergeCell ref="D63:F63"/>
  </mergeCells>
  <printOptions/>
  <pageMargins left="0.75" right="0.75" top="1" bottom="1" header="0.5" footer="0.5"/>
  <pageSetup cellComments="asDisplayed" horizontalDpi="300" verticalDpi="300" orientation="portrait" r:id="rId1"/>
  <rowBreaks count="1" manualBreakCount="1">
    <brk id="2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31">
      <selection activeCell="G50" sqref="G50"/>
    </sheetView>
  </sheetViews>
  <sheetFormatPr defaultColWidth="9.140625" defaultRowHeight="12.75"/>
  <cols>
    <col min="1" max="1" width="3.7109375" style="0" customWidth="1"/>
    <col min="2" max="2" width="3.7109375" style="9" customWidth="1"/>
    <col min="3" max="3" width="27.00390625" style="0" customWidth="1"/>
    <col min="4" max="4" width="1.7109375" style="0" customWidth="1"/>
    <col min="5" max="5" width="11.00390625" style="4" customWidth="1"/>
    <col min="6" max="6" width="1.7109375" style="4" customWidth="1"/>
    <col min="7" max="7" width="12.421875" style="4" customWidth="1"/>
    <col min="8" max="8" width="2.7109375" style="4" customWidth="1"/>
    <col min="9" max="9" width="13.00390625" style="4" bestFit="1" customWidth="1"/>
    <col min="10" max="10" width="1.7109375" style="4" customWidth="1"/>
    <col min="11" max="11" width="11.28125" style="4" customWidth="1"/>
    <col min="12" max="12" width="1.7109375" style="4" customWidth="1"/>
    <col min="13" max="14" width="11.28125" style="4" customWidth="1"/>
  </cols>
  <sheetData>
    <row r="1" spans="1:2" ht="15">
      <c r="A1" s="2" t="s">
        <v>0</v>
      </c>
      <c r="B1" s="8"/>
    </row>
    <row r="2" spans="1:8" ht="15">
      <c r="A2" s="2" t="s">
        <v>1</v>
      </c>
      <c r="B2" s="8"/>
      <c r="H2" s="232" t="s">
        <v>455</v>
      </c>
    </row>
    <row r="3" spans="1:8" ht="15" customHeight="1">
      <c r="A3" s="2" t="s">
        <v>2</v>
      </c>
      <c r="B3" s="8"/>
      <c r="H3" s="232"/>
    </row>
    <row r="4" ht="12.75" customHeight="1">
      <c r="H4" s="232"/>
    </row>
    <row r="5" spans="5:11" ht="12.75">
      <c r="E5"/>
      <c r="F5"/>
      <c r="G5"/>
      <c r="H5" s="232"/>
      <c r="I5" s="5" t="s">
        <v>3</v>
      </c>
      <c r="K5" s="6" t="s">
        <v>6</v>
      </c>
    </row>
    <row r="6" spans="5:14" ht="12.75">
      <c r="E6"/>
      <c r="F6"/>
      <c r="G6"/>
      <c r="H6" s="232"/>
      <c r="I6" s="5" t="s">
        <v>4</v>
      </c>
      <c r="K6" s="6" t="s">
        <v>7</v>
      </c>
      <c r="M6" s="5" t="s">
        <v>6</v>
      </c>
      <c r="N6" s="5"/>
    </row>
    <row r="7" spans="5:14" ht="12.75">
      <c r="E7"/>
      <c r="F7"/>
      <c r="G7"/>
      <c r="H7" s="232"/>
      <c r="I7" s="7" t="s">
        <v>5</v>
      </c>
      <c r="K7" s="7" t="s">
        <v>8</v>
      </c>
      <c r="M7" s="7" t="s">
        <v>9</v>
      </c>
      <c r="N7" s="6"/>
    </row>
    <row r="8" spans="5:7" ht="12.75">
      <c r="E8"/>
      <c r="F8"/>
      <c r="G8"/>
    </row>
    <row r="9" spans="1:14" ht="12.75">
      <c r="A9" s="1" t="s">
        <v>10</v>
      </c>
      <c r="B9" s="3"/>
      <c r="E9"/>
      <c r="F9"/>
      <c r="G9"/>
      <c r="I9" s="33">
        <v>0.885</v>
      </c>
      <c r="M9" s="33">
        <v>0.885</v>
      </c>
      <c r="N9" s="33"/>
    </row>
    <row r="10" spans="5:7" ht="12.75">
      <c r="E10"/>
      <c r="F10"/>
      <c r="G10"/>
    </row>
    <row r="11" spans="1:7" ht="12.75">
      <c r="A11" s="1" t="s">
        <v>11</v>
      </c>
      <c r="B11" s="3"/>
      <c r="E11"/>
      <c r="F11"/>
      <c r="G11"/>
    </row>
    <row r="12" spans="5:7" ht="12.75">
      <c r="E12"/>
      <c r="F12"/>
      <c r="G12"/>
    </row>
    <row r="13" spans="2:13" ht="12.75">
      <c r="B13" s="9" t="s">
        <v>12</v>
      </c>
      <c r="C13" t="s">
        <v>13</v>
      </c>
      <c r="E13"/>
      <c r="F13"/>
      <c r="G13"/>
      <c r="H13" s="89" t="s">
        <v>295</v>
      </c>
      <c r="I13" s="4">
        <v>3045792</v>
      </c>
      <c r="K13" s="4">
        <f>M13-I13</f>
        <v>127159.3301920006</v>
      </c>
      <c r="M13" s="84">
        <f>'Wages - B'!Q39</f>
        <v>3172951.3301920006</v>
      </c>
    </row>
    <row r="14" spans="2:7" ht="12.75">
      <c r="B14" s="9" t="s">
        <v>14</v>
      </c>
      <c r="C14" t="s">
        <v>15</v>
      </c>
      <c r="E14"/>
      <c r="F14"/>
      <c r="G14"/>
    </row>
    <row r="15" spans="3:13" ht="12.75">
      <c r="C15" t="s">
        <v>16</v>
      </c>
      <c r="E15"/>
      <c r="F15"/>
      <c r="G15"/>
      <c r="H15" s="89" t="s">
        <v>294</v>
      </c>
      <c r="I15" s="4">
        <f>693937+15000</f>
        <v>708937</v>
      </c>
      <c r="K15" s="4">
        <f>M15-I15</f>
        <v>286175.22857142857</v>
      </c>
      <c r="M15" s="84">
        <f>'Depr - C '!J34</f>
        <v>995112.2285714286</v>
      </c>
    </row>
    <row r="16" spans="2:8" ht="12.75">
      <c r="B16" s="9" t="s">
        <v>212</v>
      </c>
      <c r="C16" t="s">
        <v>17</v>
      </c>
      <c r="E16"/>
      <c r="F16"/>
      <c r="G16"/>
      <c r="H16" s="89" t="s">
        <v>293</v>
      </c>
    </row>
    <row r="17" spans="5:7" ht="12.75">
      <c r="E17"/>
      <c r="F17"/>
      <c r="G17"/>
    </row>
    <row r="18" spans="1:7" ht="12.75">
      <c r="A18" s="1" t="s">
        <v>18</v>
      </c>
      <c r="E18"/>
      <c r="F18"/>
      <c r="G18"/>
    </row>
    <row r="19" spans="5:7" ht="12.75">
      <c r="E19"/>
      <c r="F19"/>
      <c r="G19"/>
    </row>
    <row r="20" spans="2:13" ht="12.75">
      <c r="B20" s="9" t="s">
        <v>12</v>
      </c>
      <c r="C20" s="10" t="s">
        <v>19</v>
      </c>
      <c r="E20"/>
      <c r="F20"/>
      <c r="G20"/>
      <c r="H20" s="89" t="s">
        <v>292</v>
      </c>
      <c r="I20" s="4">
        <v>1130003</v>
      </c>
      <c r="K20" s="4">
        <f>M20-I20</f>
        <v>33447.59857569588</v>
      </c>
      <c r="M20" s="4">
        <f>'Other Allow - E'!Q23</f>
        <v>1163450.5985756959</v>
      </c>
    </row>
    <row r="21" spans="2:13" ht="12.75">
      <c r="B21" s="9" t="s">
        <v>14</v>
      </c>
      <c r="C21" t="s">
        <v>20</v>
      </c>
      <c r="E21"/>
      <c r="F21"/>
      <c r="G21"/>
      <c r="H21" s="89" t="s">
        <v>291</v>
      </c>
      <c r="I21" s="4">
        <v>1169317</v>
      </c>
      <c r="K21" s="4">
        <f>M21-I21</f>
        <v>34611.390978080686</v>
      </c>
      <c r="M21" s="4">
        <f>'Landfill - F'!M47</f>
        <v>1203928.3909780807</v>
      </c>
    </row>
    <row r="22" spans="5:7" ht="12.75">
      <c r="E22"/>
      <c r="F22"/>
      <c r="G22"/>
    </row>
    <row r="23" spans="1:13" ht="12.75">
      <c r="A23" s="1" t="s">
        <v>21</v>
      </c>
      <c r="E23"/>
      <c r="F23"/>
      <c r="G23"/>
      <c r="H23" s="89" t="s">
        <v>290</v>
      </c>
      <c r="I23" s="4">
        <v>443135</v>
      </c>
      <c r="K23" s="4">
        <f>M23-I23</f>
        <v>15413.622822316014</v>
      </c>
      <c r="M23" s="4">
        <f>'Fuel  - G'!M29</f>
        <v>458548.622822316</v>
      </c>
    </row>
    <row r="24" spans="5:14" ht="12.75">
      <c r="E24"/>
      <c r="F24"/>
      <c r="G24"/>
      <c r="I24" s="23"/>
      <c r="K24" s="23"/>
      <c r="M24" s="23"/>
      <c r="N24" s="32"/>
    </row>
    <row r="25" spans="5:14" ht="12.75">
      <c r="E25"/>
      <c r="F25"/>
      <c r="G25"/>
      <c r="I25" s="32"/>
      <c r="K25" s="32"/>
      <c r="M25" s="32"/>
      <c r="N25" s="32"/>
    </row>
    <row r="26" spans="1:14" ht="12.75">
      <c r="A26" s="1" t="s">
        <v>22</v>
      </c>
      <c r="E26"/>
      <c r="F26"/>
      <c r="G26"/>
      <c r="I26" s="23">
        <f>SUM(I13:I23)</f>
        <v>6497184</v>
      </c>
      <c r="K26" s="23">
        <f>SUM(K13:K23)</f>
        <v>496807.17113952176</v>
      </c>
      <c r="M26" s="23">
        <f>SUM(M13:M23)</f>
        <v>6993991.1711395215</v>
      </c>
      <c r="N26" s="32"/>
    </row>
    <row r="27" spans="5:7" ht="12.75">
      <c r="E27"/>
      <c r="F27"/>
      <c r="G27"/>
    </row>
    <row r="28" spans="1:7" ht="12.75">
      <c r="A28" s="1" t="s">
        <v>23</v>
      </c>
      <c r="E28"/>
      <c r="F28"/>
      <c r="G28"/>
    </row>
    <row r="29" spans="5:7" ht="12.75">
      <c r="E29"/>
      <c r="F29"/>
      <c r="G29"/>
    </row>
    <row r="30" spans="2:13" ht="12.75">
      <c r="B30" s="9" t="s">
        <v>12</v>
      </c>
      <c r="C30" t="s">
        <v>20</v>
      </c>
      <c r="E30"/>
      <c r="F30"/>
      <c r="G30"/>
      <c r="H30" s="89" t="s">
        <v>291</v>
      </c>
      <c r="I30" s="4">
        <v>654731</v>
      </c>
      <c r="K30" s="4">
        <f>M30-I30</f>
        <v>78865.76095740311</v>
      </c>
      <c r="M30" s="84">
        <f>'Landfill - F'!K33</f>
        <v>733596.7609574031</v>
      </c>
    </row>
    <row r="31" spans="2:13" ht="12.75">
      <c r="B31" s="9" t="s">
        <v>14</v>
      </c>
      <c r="C31" t="s">
        <v>24</v>
      </c>
      <c r="E31"/>
      <c r="F31"/>
      <c r="G31"/>
      <c r="H31" s="89" t="s">
        <v>289</v>
      </c>
      <c r="I31" s="4">
        <v>745406</v>
      </c>
      <c r="K31" s="4">
        <f>M31-I31</f>
        <v>-277409.57318101334</v>
      </c>
      <c r="M31" s="84">
        <f>'Debt  - H'!U30</f>
        <v>467996.42681898666</v>
      </c>
    </row>
    <row r="32" spans="2:13" ht="12.75">
      <c r="B32" s="9" t="s">
        <v>212</v>
      </c>
      <c r="C32" t="s">
        <v>17</v>
      </c>
      <c r="E32"/>
      <c r="F32"/>
      <c r="G32"/>
      <c r="H32" s="89" t="s">
        <v>293</v>
      </c>
      <c r="K32" s="4">
        <f>M32-I32</f>
        <v>30000</v>
      </c>
      <c r="M32" s="84">
        <f>'New Programs - D'!J40</f>
        <v>30000</v>
      </c>
    </row>
    <row r="33" spans="5:7" ht="12.75">
      <c r="E33"/>
      <c r="F33"/>
      <c r="G33"/>
    </row>
    <row r="34" spans="1:13" ht="12.75">
      <c r="A34" s="1" t="s">
        <v>25</v>
      </c>
      <c r="E34"/>
      <c r="F34"/>
      <c r="H34" s="89" t="s">
        <v>287</v>
      </c>
      <c r="I34" s="4">
        <f>'Other Recoverable - I'!J20</f>
        <v>190977.592774312</v>
      </c>
      <c r="K34" s="4">
        <f>M34-I34</f>
        <v>5652.936746119638</v>
      </c>
      <c r="M34" s="4">
        <f>'Other Recoverable - I'!L20</f>
        <v>196630.52952043165</v>
      </c>
    </row>
    <row r="35" spans="1:7" ht="12.75">
      <c r="A35" s="1"/>
      <c r="E35"/>
      <c r="F35"/>
      <c r="G35"/>
    </row>
    <row r="36" spans="1:13" ht="12.75">
      <c r="A36" s="1" t="s">
        <v>26</v>
      </c>
      <c r="E36"/>
      <c r="F36"/>
      <c r="G36"/>
      <c r="I36" s="4">
        <v>25000</v>
      </c>
      <c r="M36" s="4">
        <f>I36+K36</f>
        <v>25000</v>
      </c>
    </row>
    <row r="37" spans="1:14" ht="12.75">
      <c r="A37" s="1"/>
      <c r="E37"/>
      <c r="F37"/>
      <c r="G37"/>
      <c r="I37" s="23"/>
      <c r="K37" s="23"/>
      <c r="M37" s="23"/>
      <c r="N37" s="32"/>
    </row>
    <row r="38" spans="5:7" ht="12.75">
      <c r="E38"/>
      <c r="F38"/>
      <c r="G38"/>
    </row>
    <row r="39" spans="1:14" ht="12.75">
      <c r="A39" s="1" t="s">
        <v>27</v>
      </c>
      <c r="E39"/>
      <c r="F39"/>
      <c r="G39"/>
      <c r="I39" s="23">
        <f>SUM(I30:I36)</f>
        <v>1616114.592774312</v>
      </c>
      <c r="K39" s="23">
        <f>SUM(K30:K36)</f>
        <v>-162890.8754774906</v>
      </c>
      <c r="M39" s="23">
        <f>SUM(M30:M36)</f>
        <v>1453223.7172968215</v>
      </c>
      <c r="N39" s="32"/>
    </row>
    <row r="40" spans="1:7" ht="12.75">
      <c r="A40" s="1"/>
      <c r="E40"/>
      <c r="F40"/>
      <c r="G40"/>
    </row>
    <row r="41" spans="1:14" ht="12.75">
      <c r="A41" s="1" t="s">
        <v>28</v>
      </c>
      <c r="E41"/>
      <c r="F41"/>
      <c r="G41"/>
      <c r="H41" s="32"/>
      <c r="I41" s="32">
        <f>I26+I39</f>
        <v>8113298.592774312</v>
      </c>
      <c r="J41" s="32"/>
      <c r="K41" s="32">
        <f>K26+K39</f>
        <v>333916.29566203116</v>
      </c>
      <c r="L41" s="32"/>
      <c r="M41" s="32">
        <f>M26+M39</f>
        <v>8447214.888436344</v>
      </c>
      <c r="N41" s="32"/>
    </row>
    <row r="42" spans="5:7" ht="12.75">
      <c r="E42"/>
      <c r="F42"/>
      <c r="G42"/>
    </row>
    <row r="43" spans="1:14" ht="12.75">
      <c r="A43" s="1" t="s">
        <v>29</v>
      </c>
      <c r="E43"/>
      <c r="F43"/>
      <c r="H43" s="89" t="s">
        <v>288</v>
      </c>
      <c r="I43" s="23">
        <f>'Revenue - J'!J39</f>
        <v>10320324</v>
      </c>
      <c r="K43" s="7" t="s">
        <v>79</v>
      </c>
      <c r="M43" s="86">
        <f>I43</f>
        <v>10320324</v>
      </c>
      <c r="N43" s="32"/>
    </row>
    <row r="44" spans="5:7" ht="12.75">
      <c r="E44"/>
      <c r="F44"/>
      <c r="G44"/>
    </row>
    <row r="45" spans="2:14" ht="12.75">
      <c r="B45" s="11" t="s">
        <v>30</v>
      </c>
      <c r="E45"/>
      <c r="F45"/>
      <c r="G45"/>
      <c r="I45" s="23">
        <f>I43-I41</f>
        <v>2207025.407225688</v>
      </c>
      <c r="K45" s="7" t="s">
        <v>79</v>
      </c>
      <c r="M45" s="23">
        <f>M43-M41</f>
        <v>1873109.1115636565</v>
      </c>
      <c r="N45" s="32"/>
    </row>
    <row r="46" spans="5:7" ht="12.75">
      <c r="E46"/>
      <c r="F46"/>
      <c r="G46"/>
    </row>
    <row r="47" spans="1:13" ht="12.75">
      <c r="A47" s="1" t="s">
        <v>111</v>
      </c>
      <c r="E47"/>
      <c r="F47"/>
      <c r="G47"/>
      <c r="M47" s="4">
        <f>(M26/M9)-M26</f>
        <v>908823.7115040058</v>
      </c>
    </row>
    <row r="48" spans="5:7" ht="12.75">
      <c r="E48"/>
      <c r="F48"/>
      <c r="G48"/>
    </row>
    <row r="49" spans="1:13" ht="12.75">
      <c r="A49" s="1" t="s">
        <v>31</v>
      </c>
      <c r="E49"/>
      <c r="F49"/>
      <c r="G49"/>
      <c r="M49" s="4">
        <f>M47-M45</f>
        <v>-964285.4000596507</v>
      </c>
    </row>
    <row r="50" spans="5:7" ht="12.75">
      <c r="E50"/>
      <c r="F50"/>
      <c r="G50"/>
    </row>
    <row r="51" spans="1:14" ht="12.75">
      <c r="A51" s="1" t="s">
        <v>32</v>
      </c>
      <c r="E51"/>
      <c r="F51"/>
      <c r="G51"/>
      <c r="I51" s="33"/>
      <c r="M51" s="21">
        <f>M49/M43</f>
        <v>-0.09343557431526865</v>
      </c>
      <c r="N51" s="33"/>
    </row>
    <row r="52" spans="1:18" ht="12.75">
      <c r="A52" s="1"/>
      <c r="E52"/>
      <c r="F52"/>
      <c r="G52"/>
      <c r="I52" s="33"/>
      <c r="O52" s="34"/>
      <c r="P52" s="34"/>
      <c r="Q52" s="34"/>
      <c r="R52" s="34"/>
    </row>
    <row r="53" spans="5:18" ht="15">
      <c r="E53"/>
      <c r="F53"/>
      <c r="G53"/>
      <c r="I53" s="49" t="s">
        <v>200</v>
      </c>
      <c r="M53" s="7" t="s">
        <v>201</v>
      </c>
      <c r="N53" s="6"/>
      <c r="O53" s="153"/>
      <c r="P53" s="34"/>
      <c r="Q53" s="34"/>
      <c r="R53" s="34"/>
    </row>
    <row r="54" spans="1:18" ht="12.75">
      <c r="A54" s="1" t="s">
        <v>209</v>
      </c>
      <c r="E54"/>
      <c r="F54"/>
      <c r="G54"/>
      <c r="I54" s="54">
        <v>20.14</v>
      </c>
      <c r="M54" s="54">
        <f>(1+(M49/M43))*20.14</f>
        <v>18.25820753329049</v>
      </c>
      <c r="N54" s="54"/>
      <c r="O54" s="34"/>
      <c r="P54" s="34"/>
      <c r="Q54" s="34"/>
      <c r="R54" s="34"/>
    </row>
    <row r="55" spans="15:18" ht="12.75">
      <c r="O55" s="154"/>
      <c r="P55" s="34"/>
      <c r="Q55" s="34"/>
      <c r="R55" s="34"/>
    </row>
    <row r="56" spans="1:18" ht="12.75">
      <c r="A56" s="1" t="s">
        <v>202</v>
      </c>
      <c r="O56" s="154"/>
      <c r="P56" s="34"/>
      <c r="Q56" s="34"/>
      <c r="R56" s="34"/>
    </row>
    <row r="57" spans="2:18" ht="12.75">
      <c r="B57" s="61" t="s">
        <v>203</v>
      </c>
      <c r="K57" s="21">
        <v>0.0318</v>
      </c>
      <c r="O57" s="154"/>
      <c r="P57" s="34"/>
      <c r="Q57" s="34"/>
      <c r="R57" s="34"/>
    </row>
    <row r="58" spans="3:18" ht="12.75">
      <c r="C58" t="s">
        <v>204</v>
      </c>
      <c r="K58" s="21">
        <v>0.0296</v>
      </c>
      <c r="O58" s="154"/>
      <c r="P58" s="34"/>
      <c r="Q58" s="34"/>
      <c r="R58" s="34"/>
    </row>
    <row r="59" spans="2:18" ht="12.75">
      <c r="B59" s="61" t="s">
        <v>205</v>
      </c>
      <c r="K59" s="21">
        <v>0.0348</v>
      </c>
      <c r="O59" s="34"/>
      <c r="P59" s="34"/>
      <c r="Q59" s="34"/>
      <c r="R59" s="34"/>
    </row>
    <row r="60" spans="15:18" ht="12.75">
      <c r="O60" s="35"/>
      <c r="P60" s="108"/>
      <c r="Q60" s="34"/>
      <c r="R60" s="34"/>
    </row>
    <row r="61" spans="2:18" ht="12.75">
      <c r="B61" s="93"/>
      <c r="C61" t="s">
        <v>454</v>
      </c>
      <c r="O61" s="34"/>
      <c r="P61" s="34"/>
      <c r="Q61" s="34"/>
      <c r="R61" s="34"/>
    </row>
  </sheetData>
  <mergeCells count="1">
    <mergeCell ref="H2:H7"/>
  </mergeCells>
  <printOptions/>
  <pageMargins left="0.25" right="0.25" top="0.25" bottom="0.25" header="0.5" footer="0"/>
  <pageSetup horizontalDpi="600" verticalDpi="600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SheetLayoutView="100" workbookViewId="0" topLeftCell="A63">
      <selection activeCell="O17" sqref="O17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3" width="1.7109375" style="0" customWidth="1"/>
    <col min="4" max="4" width="9.7109375" style="0" customWidth="1"/>
    <col min="5" max="5" width="1.7109375" style="0" customWidth="1"/>
    <col min="6" max="6" width="14.57421875" style="15" customWidth="1"/>
    <col min="7" max="7" width="1.7109375" style="0" customWidth="1"/>
    <col min="8" max="8" width="13.7109375" style="0" bestFit="1" customWidth="1"/>
    <col min="9" max="9" width="1.7109375" style="0" customWidth="1"/>
    <col min="10" max="10" width="12.57421875" style="0" customWidth="1"/>
    <col min="12" max="12" width="3.7109375" style="0" customWidth="1"/>
    <col min="13" max="13" width="24.8515625" style="0" customWidth="1"/>
    <col min="14" max="14" width="15.421875" style="4" customWidth="1"/>
    <col min="15" max="15" width="12.00390625" style="0" customWidth="1"/>
    <col min="16" max="16" width="1.7109375" style="0" customWidth="1"/>
    <col min="17" max="17" width="11.140625" style="4" customWidth="1"/>
  </cols>
  <sheetData>
    <row r="1" spans="1:12" ht="15">
      <c r="A1" s="2" t="s">
        <v>0</v>
      </c>
      <c r="L1" s="2" t="s">
        <v>0</v>
      </c>
    </row>
    <row r="2" spans="1:12" ht="15">
      <c r="A2" s="2" t="s">
        <v>1</v>
      </c>
      <c r="L2" s="2" t="s">
        <v>1</v>
      </c>
    </row>
    <row r="3" spans="1:12" ht="15">
      <c r="A3" s="2" t="s">
        <v>2</v>
      </c>
      <c r="F3"/>
      <c r="L3" s="2" t="s">
        <v>2</v>
      </c>
    </row>
    <row r="4" ht="12.75">
      <c r="Q4" s="26" t="s">
        <v>137</v>
      </c>
    </row>
    <row r="5" spans="4:17" ht="12.75">
      <c r="D5" s="19"/>
      <c r="E5" s="19"/>
      <c r="F5" s="16"/>
      <c r="G5" s="24" t="s">
        <v>119</v>
      </c>
      <c r="H5" s="19"/>
      <c r="I5" s="19"/>
      <c r="J5" s="19"/>
      <c r="K5" s="34"/>
      <c r="L5" s="34"/>
      <c r="M5" s="34"/>
      <c r="N5" s="32"/>
      <c r="Q5" s="7" t="s">
        <v>138</v>
      </c>
    </row>
    <row r="6" spans="4:14" ht="12.75">
      <c r="D6" s="34"/>
      <c r="E6" s="34"/>
      <c r="F6" s="35"/>
      <c r="G6" s="25"/>
      <c r="H6" s="34"/>
      <c r="I6" s="34"/>
      <c r="J6" s="34"/>
      <c r="K6" s="34"/>
      <c r="L6" s="34"/>
      <c r="M6" s="34"/>
      <c r="N6" s="32"/>
    </row>
    <row r="7" spans="4:14" ht="12.75">
      <c r="D7" s="34"/>
      <c r="E7" s="34"/>
      <c r="F7" s="35"/>
      <c r="G7" s="25"/>
      <c r="H7" s="34"/>
      <c r="I7" s="34"/>
      <c r="J7" s="25" t="s">
        <v>68</v>
      </c>
      <c r="K7" s="25"/>
      <c r="L7" s="25"/>
      <c r="M7" s="25"/>
      <c r="N7" s="6"/>
    </row>
    <row r="8" spans="8:14" ht="12.75">
      <c r="H8" s="3" t="s">
        <v>72</v>
      </c>
      <c r="J8" s="3" t="s">
        <v>69</v>
      </c>
      <c r="K8" s="3"/>
      <c r="L8" s="3"/>
      <c r="M8" s="3"/>
      <c r="N8" s="5"/>
    </row>
    <row r="9" spans="4:14" ht="12.75">
      <c r="D9" s="14" t="s">
        <v>43</v>
      </c>
      <c r="F9" s="29" t="s">
        <v>71</v>
      </c>
      <c r="H9" s="14" t="s">
        <v>38</v>
      </c>
      <c r="J9" s="14" t="s">
        <v>70</v>
      </c>
      <c r="K9" s="25"/>
      <c r="L9" s="25"/>
      <c r="M9" s="25"/>
      <c r="N9" s="6"/>
    </row>
    <row r="10" spans="1:12" ht="12.75">
      <c r="A10" s="12" t="s">
        <v>33</v>
      </c>
      <c r="L10" s="12" t="s">
        <v>33</v>
      </c>
    </row>
    <row r="12" spans="2:15" ht="12.75">
      <c r="B12" t="s">
        <v>34</v>
      </c>
      <c r="D12" s="48">
        <v>6001</v>
      </c>
      <c r="F12" s="15">
        <v>776171.11</v>
      </c>
      <c r="J12" s="15">
        <f>F12+H12</f>
        <v>776171.11</v>
      </c>
      <c r="K12" s="15"/>
      <c r="L12" s="15"/>
      <c r="M12" s="15" t="s">
        <v>178</v>
      </c>
      <c r="O12" s="4">
        <f>J17</f>
        <v>2228282.0700000003</v>
      </c>
    </row>
    <row r="13" spans="2:14" ht="12.75">
      <c r="B13" t="s">
        <v>35</v>
      </c>
      <c r="D13" s="48">
        <v>6201</v>
      </c>
      <c r="F13" s="15">
        <v>393063.34</v>
      </c>
      <c r="J13" s="15">
        <f>F13+H13</f>
        <v>393063.34</v>
      </c>
      <c r="K13" s="15"/>
      <c r="L13" s="15"/>
      <c r="M13" s="35"/>
      <c r="N13" s="32"/>
    </row>
    <row r="14" spans="2:17" ht="12.75">
      <c r="B14" t="s">
        <v>36</v>
      </c>
      <c r="D14" s="48">
        <v>6301</v>
      </c>
      <c r="F14" s="15">
        <v>304288.88</v>
      </c>
      <c r="J14" s="15">
        <f>F14+H14</f>
        <v>304288.88</v>
      </c>
      <c r="K14" s="15"/>
      <c r="L14" s="15"/>
      <c r="M14" s="35" t="s">
        <v>180</v>
      </c>
      <c r="N14" s="101"/>
      <c r="O14" s="182">
        <v>0.05</v>
      </c>
      <c r="Q14" s="23">
        <f>O12*(1+O14)</f>
        <v>2339696.1735000005</v>
      </c>
    </row>
    <row r="15" spans="2:12" ht="12.75">
      <c r="B15" t="s">
        <v>37</v>
      </c>
      <c r="D15" s="48">
        <v>8001</v>
      </c>
      <c r="F15" s="15">
        <v>754758.74</v>
      </c>
      <c r="J15" s="15">
        <f>F15+H15</f>
        <v>754758.74</v>
      </c>
      <c r="K15" s="15"/>
      <c r="L15" s="15"/>
    </row>
    <row r="16" spans="2:11" ht="12.75">
      <c r="B16" t="s">
        <v>38</v>
      </c>
      <c r="D16" s="48">
        <v>8007</v>
      </c>
      <c r="F16" s="16">
        <v>265007.08</v>
      </c>
      <c r="H16" s="16">
        <f>-F16</f>
        <v>-265007.08</v>
      </c>
      <c r="J16" s="16">
        <f>F16+H16</f>
        <v>0</v>
      </c>
      <c r="K16" s="35"/>
    </row>
    <row r="17" spans="4:12" ht="12.75">
      <c r="D17" s="48"/>
      <c r="F17" s="17">
        <f>SUM(F12:F16)</f>
        <v>2493289.1500000004</v>
      </c>
      <c r="H17" s="17">
        <f>SUM(H12:H16)</f>
        <v>-265007.08</v>
      </c>
      <c r="J17" s="17">
        <f>SUM(J12:J16)</f>
        <v>2228282.0700000003</v>
      </c>
      <c r="K17" s="35"/>
      <c r="L17" s="13" t="s">
        <v>39</v>
      </c>
    </row>
    <row r="18" ht="12.75">
      <c r="D18" s="48"/>
    </row>
    <row r="19" spans="1:17" ht="12.75">
      <c r="A19" s="13" t="s">
        <v>39</v>
      </c>
      <c r="D19" s="48"/>
      <c r="M19" s="35" t="s">
        <v>139</v>
      </c>
      <c r="N19" s="32"/>
      <c r="O19" s="52">
        <f>J26/J17</f>
        <v>0.07641122908645044</v>
      </c>
      <c r="Q19" s="23">
        <f>Q14*O19</f>
        <v>178779.06030600003</v>
      </c>
    </row>
    <row r="20" ht="12.75">
      <c r="D20" s="48"/>
    </row>
    <row r="21" spans="2:13" ht="12.75">
      <c r="B21" t="s">
        <v>34</v>
      </c>
      <c r="D21" s="48">
        <v>6002</v>
      </c>
      <c r="F21" s="15">
        <v>61096.7</v>
      </c>
      <c r="J21" s="15">
        <f>F21+H21</f>
        <v>61096.7</v>
      </c>
      <c r="K21" s="15"/>
      <c r="L21" s="15"/>
      <c r="M21" s="15"/>
    </row>
    <row r="22" spans="2:12" ht="12.75">
      <c r="B22" t="s">
        <v>35</v>
      </c>
      <c r="D22" s="48">
        <v>6202</v>
      </c>
      <c r="F22" s="15">
        <v>29907.9</v>
      </c>
      <c r="J22" s="15">
        <f>F22+H22</f>
        <v>29907.9</v>
      </c>
      <c r="K22" s="15"/>
      <c r="L22" s="13" t="s">
        <v>40</v>
      </c>
    </row>
    <row r="23" spans="2:15" ht="12.75">
      <c r="B23" t="s">
        <v>36</v>
      </c>
      <c r="D23" s="48">
        <v>6302</v>
      </c>
      <c r="F23" s="15">
        <v>25653.6</v>
      </c>
      <c r="J23" s="15">
        <f>F23+H23</f>
        <v>25653.6</v>
      </c>
      <c r="K23" s="15"/>
      <c r="L23" s="15"/>
      <c r="M23" s="15"/>
      <c r="O23" s="101"/>
    </row>
    <row r="24" spans="2:17" ht="12.75">
      <c r="B24" t="s">
        <v>37</v>
      </c>
      <c r="D24" s="48">
        <v>8002</v>
      </c>
      <c r="F24" s="15">
        <f>69392.19-J71</f>
        <v>53607.57172000001</v>
      </c>
      <c r="J24" s="15">
        <f>F24+H24</f>
        <v>53607.57172000001</v>
      </c>
      <c r="K24" s="15"/>
      <c r="L24" s="15"/>
      <c r="M24" s="15"/>
      <c r="N24" s="51">
        <f>J35</f>
        <v>153308.19</v>
      </c>
      <c r="O24" s="52">
        <v>0.5944</v>
      </c>
      <c r="Q24" s="23">
        <f>N24*O24</f>
        <v>91126.38813600001</v>
      </c>
    </row>
    <row r="25" spans="2:13" ht="12.75">
      <c r="B25" t="s">
        <v>38</v>
      </c>
      <c r="D25" s="48">
        <v>8002</v>
      </c>
      <c r="F25" s="16">
        <f>J71</f>
        <v>15784.618279999999</v>
      </c>
      <c r="H25" s="16">
        <f>-F25</f>
        <v>-15784.618279999999</v>
      </c>
      <c r="J25" s="16">
        <f>F25+H25</f>
        <v>0</v>
      </c>
      <c r="K25" s="35"/>
      <c r="L25" s="35"/>
      <c r="M25" s="35"/>
    </row>
    <row r="26" spans="4:12" ht="12.75">
      <c r="D26" s="48"/>
      <c r="F26" s="17">
        <f>SUM(F21:F25)</f>
        <v>186050.39</v>
      </c>
      <c r="H26" s="17">
        <f>SUM(H21:H25)</f>
        <v>-15784.618279999999</v>
      </c>
      <c r="J26" s="17">
        <f>SUM(J21:J25)</f>
        <v>170265.77172000002</v>
      </c>
      <c r="K26" s="35"/>
      <c r="L26" s="13" t="s">
        <v>41</v>
      </c>
    </row>
    <row r="27" ht="12.75">
      <c r="D27" s="48"/>
    </row>
    <row r="28" spans="1:15" ht="12.75">
      <c r="A28" s="13" t="s">
        <v>40</v>
      </c>
      <c r="D28" s="48"/>
      <c r="L28" s="15"/>
      <c r="M28" s="15"/>
      <c r="N28" s="26" t="s">
        <v>179</v>
      </c>
      <c r="O28" s="3" t="s">
        <v>142</v>
      </c>
    </row>
    <row r="29" spans="4:15" ht="15">
      <c r="D29" s="48"/>
      <c r="L29" s="15"/>
      <c r="M29" s="15"/>
      <c r="N29" s="49" t="s">
        <v>142</v>
      </c>
      <c r="O29" s="50" t="s">
        <v>48</v>
      </c>
    </row>
    <row r="30" spans="2:15" ht="12.75">
      <c r="B30" t="s">
        <v>34</v>
      </c>
      <c r="D30" s="48">
        <v>6003</v>
      </c>
      <c r="F30" s="15">
        <v>90605.19</v>
      </c>
      <c r="J30" s="15">
        <f>F30+H30</f>
        <v>90605.19</v>
      </c>
      <c r="K30" s="15"/>
      <c r="L30" s="15"/>
      <c r="M30" s="15"/>
      <c r="O30" s="101"/>
    </row>
    <row r="31" spans="2:17" ht="12.75">
      <c r="B31" t="s">
        <v>35</v>
      </c>
      <c r="D31" s="48">
        <v>6203</v>
      </c>
      <c r="F31" s="15">
        <v>35319</v>
      </c>
      <c r="J31" s="15">
        <f>F31+H31</f>
        <v>35319</v>
      </c>
      <c r="K31" s="15"/>
      <c r="L31" s="15"/>
      <c r="M31" s="15" t="s">
        <v>140</v>
      </c>
      <c r="N31" s="4">
        <f>265284-F85-F86</f>
        <v>255527.35</v>
      </c>
      <c r="O31" s="52">
        <v>0.225</v>
      </c>
      <c r="Q31" s="4">
        <f>N31*(1+O31)</f>
        <v>313021.00375000003</v>
      </c>
    </row>
    <row r="32" spans="2:17" ht="12.75">
      <c r="B32" t="s">
        <v>36</v>
      </c>
      <c r="D32" s="48">
        <v>6303</v>
      </c>
      <c r="F32" s="15">
        <v>22958</v>
      </c>
      <c r="J32" s="15">
        <f>F32+H32</f>
        <v>22958</v>
      </c>
      <c r="K32" s="15"/>
      <c r="L32" s="35"/>
      <c r="M32" s="35" t="s">
        <v>141</v>
      </c>
      <c r="N32" s="23">
        <f>40810-F88-F89</f>
        <v>39720.56</v>
      </c>
      <c r="O32" s="52">
        <v>0.05</v>
      </c>
      <c r="Q32" s="23">
        <f>N32*(1+O32)</f>
        <v>41706.587999999996</v>
      </c>
    </row>
    <row r="33" spans="2:17" ht="12.75">
      <c r="B33" t="s">
        <v>37</v>
      </c>
      <c r="D33" s="48">
        <v>8003</v>
      </c>
      <c r="F33" s="15">
        <v>4426</v>
      </c>
      <c r="J33" s="15">
        <f>F33+H33</f>
        <v>4426</v>
      </c>
      <c r="K33" s="15"/>
      <c r="L33" s="35"/>
      <c r="M33" s="35"/>
      <c r="N33" s="42">
        <f>N31+N32</f>
        <v>295247.91000000003</v>
      </c>
      <c r="Q33" s="42">
        <f>Q31+Q32</f>
        <v>354727.59175</v>
      </c>
    </row>
    <row r="34" spans="2:11" ht="12.75">
      <c r="B34" t="s">
        <v>38</v>
      </c>
      <c r="D34" s="48"/>
      <c r="F34" s="16"/>
      <c r="H34" s="19"/>
      <c r="J34" s="16">
        <f>F34+H34</f>
        <v>0</v>
      </c>
      <c r="K34" s="35"/>
    </row>
    <row r="35" spans="2:12" ht="12.75">
      <c r="B35" s="15"/>
      <c r="D35" s="48"/>
      <c r="F35" s="17">
        <f>SUM(F30:F34)</f>
        <v>153308.19</v>
      </c>
      <c r="H35" s="17">
        <f>SUM(H30:H34)</f>
        <v>0</v>
      </c>
      <c r="J35" s="17">
        <f>SUM(J30:J34)</f>
        <v>153308.19</v>
      </c>
      <c r="K35" s="35"/>
      <c r="L35" s="13" t="s">
        <v>42</v>
      </c>
    </row>
    <row r="36" ht="12.75">
      <c r="D36" s="48"/>
    </row>
    <row r="37" spans="1:17" ht="12.75">
      <c r="A37" s="13" t="s">
        <v>41</v>
      </c>
      <c r="D37" s="48"/>
      <c r="M37" s="35" t="s">
        <v>139</v>
      </c>
      <c r="N37" s="32"/>
      <c r="O37" s="52">
        <f>J53/J17</f>
        <v>0.08916632803135197</v>
      </c>
      <c r="Q37" s="23">
        <f>Q14*O37</f>
        <v>208622.11650000003</v>
      </c>
    </row>
    <row r="38" ht="12.75">
      <c r="D38" s="48"/>
    </row>
    <row r="39" spans="2:17" ht="13.5" thickBot="1">
      <c r="B39" t="s">
        <v>34</v>
      </c>
      <c r="D39" s="48">
        <v>6004</v>
      </c>
      <c r="F39" s="15">
        <v>117251.67</v>
      </c>
      <c r="J39" s="15">
        <f>F39+H39</f>
        <v>117251.67</v>
      </c>
      <c r="K39" s="15"/>
      <c r="M39" s="35"/>
      <c r="N39" s="32"/>
      <c r="Q39" s="31">
        <f>Q14+Q19+Q24+Q33+Q37</f>
        <v>3172951.3301920006</v>
      </c>
    </row>
    <row r="40" spans="2:17" ht="13.5" thickTop="1">
      <c r="B40" t="s">
        <v>35</v>
      </c>
      <c r="D40" s="48">
        <v>6204</v>
      </c>
      <c r="F40" s="15">
        <v>57528.42</v>
      </c>
      <c r="J40" s="15">
        <f>F40+H40</f>
        <v>57528.42</v>
      </c>
      <c r="K40" s="15"/>
      <c r="Q40" s="89" t="s">
        <v>286</v>
      </c>
    </row>
    <row r="41" spans="2:13" ht="12.75">
      <c r="B41" t="s">
        <v>36</v>
      </c>
      <c r="D41" s="48">
        <v>6304</v>
      </c>
      <c r="F41" s="15">
        <v>26540.76</v>
      </c>
      <c r="J41" s="15">
        <f>F41+H41</f>
        <v>26540.76</v>
      </c>
      <c r="K41" s="101" t="s">
        <v>213</v>
      </c>
      <c r="M41" t="s">
        <v>273</v>
      </c>
    </row>
    <row r="42" spans="2:13" ht="12.75">
      <c r="B42" t="s">
        <v>37</v>
      </c>
      <c r="D42" s="48">
        <v>8004</v>
      </c>
      <c r="F42" s="15">
        <f>104773.73-F95</f>
        <v>93927.64</v>
      </c>
      <c r="J42" s="15">
        <f>F42+H42</f>
        <v>93927.64</v>
      </c>
      <c r="K42" s="103"/>
      <c r="M42" t="s">
        <v>274</v>
      </c>
    </row>
    <row r="43" spans="2:13" ht="12.75">
      <c r="B43" t="s">
        <v>38</v>
      </c>
      <c r="D43" s="48">
        <v>8004</v>
      </c>
      <c r="F43" s="16">
        <f>F95</f>
        <v>10846.089999999998</v>
      </c>
      <c r="H43" s="16">
        <f>-F43</f>
        <v>-10846.089999999998</v>
      </c>
      <c r="J43" s="16">
        <f>F43+H43</f>
        <v>0</v>
      </c>
      <c r="K43" s="103"/>
      <c r="L43" s="142"/>
      <c r="M43" s="141" t="s">
        <v>447</v>
      </c>
    </row>
    <row r="44" spans="4:13" ht="12.75">
      <c r="D44" s="48"/>
      <c r="F44" s="17">
        <f>SUM(F39:F43)</f>
        <v>306094.58</v>
      </c>
      <c r="H44" s="17">
        <f>SUM(H39:H43)</f>
        <v>-10846.089999999998</v>
      </c>
      <c r="J44" s="17">
        <f>SUM(J39:J43)</f>
        <v>295248.49</v>
      </c>
      <c r="K44" s="104"/>
      <c r="M44" s="148" t="s">
        <v>448</v>
      </c>
    </row>
    <row r="45" spans="4:11" ht="12.75">
      <c r="D45" s="48"/>
      <c r="K45" s="101"/>
    </row>
    <row r="46" spans="1:13" ht="12.75">
      <c r="A46" s="13" t="s">
        <v>42</v>
      </c>
      <c r="D46" s="48"/>
      <c r="K46" s="1"/>
      <c r="L46" s="183"/>
      <c r="M46" s="15" t="s">
        <v>498</v>
      </c>
    </row>
    <row r="47" spans="4:11" ht="12.75">
      <c r="D47" s="48"/>
      <c r="K47" s="1"/>
    </row>
    <row r="48" spans="2:11" ht="12.75">
      <c r="B48" t="s">
        <v>34</v>
      </c>
      <c r="D48" s="48">
        <v>6006</v>
      </c>
      <c r="F48" s="15">
        <v>70495.04</v>
      </c>
      <c r="J48" s="15">
        <f>F48+H48</f>
        <v>70495.04</v>
      </c>
      <c r="K48" s="101"/>
    </row>
    <row r="49" spans="2:13" ht="12.75">
      <c r="B49" t="s">
        <v>35</v>
      </c>
      <c r="D49" s="48">
        <v>6206</v>
      </c>
      <c r="F49" s="15">
        <v>35546.18</v>
      </c>
      <c r="J49" s="15">
        <f>F49+H49</f>
        <v>35546.18</v>
      </c>
      <c r="K49" s="15"/>
      <c r="L49" s="15"/>
      <c r="M49" s="15"/>
    </row>
    <row r="50" spans="2:13" ht="12.75">
      <c r="B50" t="s">
        <v>36</v>
      </c>
      <c r="D50" s="48">
        <v>6306</v>
      </c>
      <c r="F50" s="15">
        <v>18547.88</v>
      </c>
      <c r="J50" s="15">
        <f>F50+H50</f>
        <v>18547.88</v>
      </c>
      <c r="K50" s="15"/>
      <c r="L50" s="15"/>
      <c r="M50" s="15"/>
    </row>
    <row r="51" spans="2:14" ht="12.75">
      <c r="B51" t="s">
        <v>37</v>
      </c>
      <c r="D51" s="48">
        <v>8006</v>
      </c>
      <c r="F51" s="15">
        <f>118098.63-44000</f>
        <v>74098.63</v>
      </c>
      <c r="J51" s="15">
        <f>F51+H51</f>
        <v>74098.63</v>
      </c>
      <c r="K51" s="15"/>
      <c r="L51" s="15"/>
      <c r="M51" s="15"/>
      <c r="N51" s="32"/>
    </row>
    <row r="52" spans="2:13" ht="12.75">
      <c r="B52" t="s">
        <v>38</v>
      </c>
      <c r="D52" s="48">
        <v>8006</v>
      </c>
      <c r="F52" s="16">
        <v>44000</v>
      </c>
      <c r="H52" s="16">
        <v>-44000</v>
      </c>
      <c r="J52" s="16">
        <f>F52+H52</f>
        <v>0</v>
      </c>
      <c r="K52" s="15"/>
      <c r="L52" s="15"/>
      <c r="M52" s="15"/>
    </row>
    <row r="53" spans="6:13" ht="12.75">
      <c r="F53" s="17">
        <f>SUM(F48:F52)</f>
        <v>242687.73</v>
      </c>
      <c r="H53" s="17">
        <f>SUM(H48:H52)</f>
        <v>-44000</v>
      </c>
      <c r="J53" s="17">
        <f>SUM(J48:J52)</f>
        <v>198687.73</v>
      </c>
      <c r="K53" s="35"/>
      <c r="L53" s="15"/>
      <c r="M53" s="15"/>
    </row>
    <row r="54" ht="12.75">
      <c r="K54" s="35"/>
    </row>
    <row r="55" spans="2:12" ht="13.5" thickBot="1">
      <c r="B55" s="1" t="s">
        <v>44</v>
      </c>
      <c r="F55" s="18">
        <f>F17+F26+F35+F44+F53</f>
        <v>3381430.0400000005</v>
      </c>
      <c r="H55" s="18">
        <f>H17+H26+H35+H44+H53</f>
        <v>-335637.78828000004</v>
      </c>
      <c r="J55" s="18">
        <f>J17+J26+J35+J44+J53</f>
        <v>3045792.2517200005</v>
      </c>
      <c r="L55" s="35"/>
    </row>
    <row r="56" ht="13.5" thickTop="1">
      <c r="K56" s="35"/>
    </row>
    <row r="57" ht="12.75">
      <c r="L57" s="35"/>
    </row>
    <row r="59" ht="12.75">
      <c r="N59" s="6"/>
    </row>
    <row r="60" spans="4:10" ht="12.75">
      <c r="D60" s="14" t="s">
        <v>124</v>
      </c>
      <c r="F60" s="29" t="s">
        <v>120</v>
      </c>
      <c r="H60" s="14" t="s">
        <v>121</v>
      </c>
      <c r="I60" s="3"/>
      <c r="J60" s="14" t="s">
        <v>122</v>
      </c>
    </row>
    <row r="61" spans="11:14" ht="15">
      <c r="K61" s="25"/>
      <c r="N61" s="41"/>
    </row>
    <row r="62" spans="1:13" ht="15">
      <c r="A62" s="1" t="s">
        <v>123</v>
      </c>
      <c r="D62">
        <v>317.08</v>
      </c>
      <c r="F62" s="39">
        <v>175686.56</v>
      </c>
      <c r="H62" s="39">
        <v>89003.44</v>
      </c>
      <c r="I62" s="15"/>
      <c r="J62" s="39">
        <f>SUM(D62:H62)</f>
        <v>265007.07999999996</v>
      </c>
      <c r="L62" s="25"/>
      <c r="M62" s="25"/>
    </row>
    <row r="63" ht="15">
      <c r="K63" s="39"/>
    </row>
    <row r="64" spans="1:13" ht="15">
      <c r="A64" s="13" t="s">
        <v>126</v>
      </c>
      <c r="L64" s="39"/>
      <c r="M64" s="39"/>
    </row>
    <row r="66" spans="2:10" ht="12.75">
      <c r="B66" t="s">
        <v>317</v>
      </c>
      <c r="D66" s="21">
        <v>0.062</v>
      </c>
      <c r="F66" s="15">
        <f>94200*D66</f>
        <v>5840.4</v>
      </c>
      <c r="H66" s="15">
        <f>$H$62*D66</f>
        <v>5518.21328</v>
      </c>
      <c r="J66" s="15">
        <f>F66+H66</f>
        <v>11358.61328</v>
      </c>
    </row>
    <row r="67" spans="2:11" ht="12.75">
      <c r="B67" t="s">
        <v>125</v>
      </c>
      <c r="D67" s="21">
        <v>0.0145</v>
      </c>
      <c r="F67" s="15">
        <f>$F$62*D67</f>
        <v>2547.45512</v>
      </c>
      <c r="H67" s="15">
        <f>$H$62*D67</f>
        <v>1290.54988</v>
      </c>
      <c r="J67" s="15">
        <f>F67+H67</f>
        <v>3838.005</v>
      </c>
      <c r="K67" s="15"/>
    </row>
    <row r="68" spans="2:13" ht="12.75">
      <c r="B68" t="s">
        <v>318</v>
      </c>
      <c r="D68" s="21">
        <v>0.008</v>
      </c>
      <c r="F68" s="15">
        <f>7000*D68</f>
        <v>56</v>
      </c>
      <c r="H68" s="15">
        <v>56</v>
      </c>
      <c r="J68" s="15">
        <f>F68+H68</f>
        <v>112</v>
      </c>
      <c r="K68" s="15"/>
      <c r="L68" s="15"/>
      <c r="M68" s="15"/>
    </row>
    <row r="69" spans="2:14" ht="12.75">
      <c r="B69" t="s">
        <v>319</v>
      </c>
      <c r="D69" s="21">
        <v>0.033</v>
      </c>
      <c r="F69" s="15">
        <f>7000*D69</f>
        <v>231</v>
      </c>
      <c r="H69" s="15">
        <v>231</v>
      </c>
      <c r="J69" s="15">
        <f>F69+H69</f>
        <v>462</v>
      </c>
      <c r="K69" s="15"/>
      <c r="L69" s="15"/>
      <c r="M69" s="15"/>
      <c r="N69" s="32"/>
    </row>
    <row r="70" spans="2:14" ht="12.75">
      <c r="B70" t="s">
        <v>320</v>
      </c>
      <c r="D70" s="21">
        <v>0.001</v>
      </c>
      <c r="F70" s="16">
        <f>7000*D70</f>
        <v>7</v>
      </c>
      <c r="H70" s="16">
        <v>7</v>
      </c>
      <c r="J70" s="16">
        <f>F70+H70</f>
        <v>14</v>
      </c>
      <c r="K70" s="15"/>
      <c r="L70" s="15"/>
      <c r="M70" s="15"/>
      <c r="N70" s="32"/>
    </row>
    <row r="71" spans="6:13" ht="12.75">
      <c r="F71" s="17">
        <f>SUM(F66:F70)</f>
        <v>8681.85512</v>
      </c>
      <c r="H71" s="17">
        <f>SUM(H66:H70)</f>
        <v>7102.76316</v>
      </c>
      <c r="J71" s="17">
        <f>SUM(J66:J70)</f>
        <v>15784.618279999999</v>
      </c>
      <c r="K71" s="35"/>
      <c r="L71" s="15"/>
      <c r="M71" s="15"/>
    </row>
    <row r="72" spans="11:13" ht="12.75">
      <c r="K72" s="35"/>
      <c r="L72" s="35"/>
      <c r="M72" s="35"/>
    </row>
    <row r="73" spans="1:13" ht="12.75">
      <c r="A73" s="13" t="s">
        <v>40</v>
      </c>
      <c r="L73" s="35"/>
      <c r="M73" s="35"/>
    </row>
    <row r="75" ht="12.75">
      <c r="B75" t="s">
        <v>129</v>
      </c>
    </row>
    <row r="76" ht="12.75">
      <c r="B76" t="s">
        <v>127</v>
      </c>
    </row>
    <row r="77" ht="12.75">
      <c r="B77" t="s">
        <v>128</v>
      </c>
    </row>
    <row r="78" ht="12.75">
      <c r="B78" t="s">
        <v>130</v>
      </c>
    </row>
    <row r="81" ht="12.75">
      <c r="A81" s="13" t="s">
        <v>41</v>
      </c>
    </row>
    <row r="82" ht="12.75">
      <c r="D82" s="9" t="s">
        <v>131</v>
      </c>
    </row>
    <row r="83" ht="12.75">
      <c r="D83" s="40" t="s">
        <v>132</v>
      </c>
    </row>
    <row r="85" spans="2:6" ht="12.75">
      <c r="B85" t="s">
        <v>133</v>
      </c>
      <c r="D85">
        <v>798.09</v>
      </c>
      <c r="F85" s="15">
        <f>D85*11</f>
        <v>8778.99</v>
      </c>
    </row>
    <row r="86" spans="2:6" ht="12.75">
      <c r="B86" t="s">
        <v>134</v>
      </c>
      <c r="D86">
        <v>977.66</v>
      </c>
      <c r="F86" s="35">
        <v>977.66</v>
      </c>
    </row>
    <row r="88" spans="2:6" ht="12.75">
      <c r="B88" t="s">
        <v>135</v>
      </c>
      <c r="D88">
        <v>90.43</v>
      </c>
      <c r="F88" s="15">
        <f>D88*11</f>
        <v>994.73</v>
      </c>
    </row>
    <row r="89" spans="2:6" ht="12.75">
      <c r="B89" t="s">
        <v>134</v>
      </c>
      <c r="D89">
        <v>94.71</v>
      </c>
      <c r="F89" s="16">
        <v>94.71</v>
      </c>
    </row>
    <row r="91" spans="2:6" ht="12.75">
      <c r="B91" t="s">
        <v>136</v>
      </c>
      <c r="F91" s="15">
        <f>SUM(F85:F89)</f>
        <v>10846.089999999998</v>
      </c>
    </row>
    <row r="93" spans="2:6" ht="12.75">
      <c r="B93" t="s">
        <v>181</v>
      </c>
      <c r="F93" s="53">
        <v>0</v>
      </c>
    </row>
    <row r="95" spans="2:6" ht="13.5" thickBot="1">
      <c r="B95" t="s">
        <v>182</v>
      </c>
      <c r="F95" s="18">
        <f>F91+F93</f>
        <v>10846.089999999998</v>
      </c>
    </row>
    <row r="96" ht="13.5" thickTop="1"/>
    <row r="97" ht="12.75">
      <c r="A97" t="s">
        <v>321</v>
      </c>
    </row>
    <row r="98" spans="2:6" ht="12.75">
      <c r="B98" t="s">
        <v>322</v>
      </c>
      <c r="F98" s="15">
        <v>282371</v>
      </c>
    </row>
    <row r="99" spans="2:6" ht="12.75">
      <c r="B99" s="106" t="s">
        <v>323</v>
      </c>
      <c r="F99" s="105">
        <v>1.00186</v>
      </c>
    </row>
    <row r="100" ht="12.75">
      <c r="F100" s="105">
        <v>1.0145</v>
      </c>
    </row>
    <row r="101" ht="12.75">
      <c r="F101" s="105">
        <v>1.0272</v>
      </c>
    </row>
    <row r="102" ht="12.75">
      <c r="F102" s="105">
        <v>1.0296</v>
      </c>
    </row>
    <row r="103" spans="2:6" ht="13.5" thickBot="1">
      <c r="B103" t="s">
        <v>324</v>
      </c>
      <c r="F103" s="107">
        <f>+F98*F99*F100*F101*F102</f>
        <v>303530.7711507782</v>
      </c>
    </row>
    <row r="104" ht="13.5" thickTop="1"/>
  </sheetData>
  <printOptions/>
  <pageMargins left="0.5" right="0.5" top="0.5" bottom="0.75" header="0.25" footer="0.5"/>
  <pageSetup horizontalDpi="300" verticalDpi="300" orientation="portrait" scale="95" r:id="rId2"/>
  <headerFooter alignWithMargins="0">
    <oddFooter>&amp;C&amp;A.&amp;P</oddFooter>
  </headerFooter>
  <rowBreaks count="1" manualBreakCount="1">
    <brk id="58" max="255" man="1"/>
  </rowBreaks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4"/>
  <sheetViews>
    <sheetView workbookViewId="0" topLeftCell="A17">
      <selection activeCell="Q17" sqref="Q1:Q16384"/>
    </sheetView>
  </sheetViews>
  <sheetFormatPr defaultColWidth="9.140625" defaultRowHeight="12.75"/>
  <cols>
    <col min="1" max="1" width="5.7109375" style="0" customWidth="1"/>
    <col min="2" max="2" width="3.00390625" style="9" customWidth="1"/>
    <col min="3" max="3" width="31.28125" style="0" customWidth="1"/>
    <col min="4" max="4" width="7.7109375" style="9" customWidth="1"/>
    <col min="5" max="5" width="1.7109375" style="0" customWidth="1"/>
    <col min="6" max="6" width="6.28125" style="9" customWidth="1"/>
    <col min="7" max="7" width="1.7109375" style="0" customWidth="1"/>
    <col min="8" max="8" width="11.28125" style="4" customWidth="1"/>
    <col min="9" max="9" width="1.7109375" style="4" customWidth="1"/>
    <col min="10" max="10" width="10.421875" style="4" customWidth="1"/>
    <col min="11" max="11" width="1.7109375" style="4" customWidth="1"/>
    <col min="12" max="12" width="10.57421875" style="4" customWidth="1"/>
    <col min="13" max="13" width="1.7109375" style="4" customWidth="1"/>
    <col min="14" max="14" width="10.57421875" style="4" customWidth="1"/>
    <col min="15" max="15" width="1.7109375" style="4" customWidth="1"/>
    <col min="16" max="16" width="10.57421875" style="4" customWidth="1"/>
    <col min="17" max="17" width="1.7109375" style="4" customWidth="1"/>
    <col min="18" max="18" width="6.28125" style="46" customWidth="1"/>
    <col min="19" max="19" width="1.7109375" style="4" customWidth="1"/>
    <col min="20" max="20" width="7.00390625" style="4" customWidth="1"/>
    <col min="21" max="21" width="1.7109375" style="4" customWidth="1"/>
    <col min="22" max="22" width="9.7109375" style="0" customWidth="1"/>
    <col min="23" max="23" width="1.7109375" style="4" customWidth="1"/>
    <col min="24" max="24" width="9.28125" style="4" bestFit="1" customWidth="1"/>
    <col min="25" max="25" width="1.7109375" style="4" customWidth="1"/>
    <col min="26" max="26" width="9.140625" style="4" customWidth="1"/>
    <col min="27" max="27" width="1.7109375" style="0" customWidth="1"/>
    <col min="29" max="29" width="1.7109375" style="0" customWidth="1"/>
    <col min="31" max="31" width="2.7109375" style="0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spans="4:30" ht="12.75">
      <c r="D4" s="3" t="s">
        <v>156</v>
      </c>
      <c r="E4" s="3"/>
      <c r="F4" s="3" t="s">
        <v>145</v>
      </c>
      <c r="J4" s="23"/>
      <c r="K4" s="23"/>
      <c r="L4" s="23"/>
      <c r="M4" s="7" t="s">
        <v>169</v>
      </c>
      <c r="N4" s="23"/>
      <c r="O4" s="7"/>
      <c r="P4" s="23"/>
      <c r="Q4" s="71"/>
      <c r="R4" s="96" t="s">
        <v>213</v>
      </c>
      <c r="S4" s="19"/>
      <c r="T4" s="19"/>
      <c r="U4" s="19"/>
      <c r="V4" s="14"/>
      <c r="W4" s="23"/>
      <c r="X4" s="14" t="s">
        <v>173</v>
      </c>
      <c r="Y4" s="23"/>
      <c r="Z4" s="23"/>
      <c r="AA4" s="19"/>
      <c r="AB4" s="96" t="s">
        <v>214</v>
      </c>
      <c r="AC4" s="19"/>
      <c r="AD4" s="19"/>
    </row>
    <row r="5" spans="2:30" ht="12.75">
      <c r="B5" s="14" t="s">
        <v>164</v>
      </c>
      <c r="D5" s="14" t="s">
        <v>157</v>
      </c>
      <c r="E5" s="3"/>
      <c r="F5" s="14" t="s">
        <v>162</v>
      </c>
      <c r="H5" s="7" t="s">
        <v>158</v>
      </c>
      <c r="J5" s="36" t="s">
        <v>137</v>
      </c>
      <c r="K5" s="5"/>
      <c r="L5" s="36" t="s">
        <v>159</v>
      </c>
      <c r="M5" s="5"/>
      <c r="N5" s="36" t="s">
        <v>160</v>
      </c>
      <c r="O5" s="5"/>
      <c r="P5" s="36" t="s">
        <v>161</v>
      </c>
      <c r="Q5" s="72"/>
      <c r="R5" s="47" t="s">
        <v>171</v>
      </c>
      <c r="S5" s="3"/>
      <c r="T5" s="47" t="s">
        <v>172</v>
      </c>
      <c r="U5"/>
      <c r="V5" s="47" t="s">
        <v>170</v>
      </c>
      <c r="W5" s="5"/>
      <c r="X5" s="179" t="s">
        <v>137</v>
      </c>
      <c r="Y5" s="5"/>
      <c r="Z5" s="36" t="s">
        <v>159</v>
      </c>
      <c r="AB5" s="36" t="s">
        <v>160</v>
      </c>
      <c r="AC5" s="5"/>
      <c r="AD5" s="36" t="s">
        <v>161</v>
      </c>
    </row>
    <row r="6" spans="1:24" ht="12.75">
      <c r="A6" s="13" t="s">
        <v>115</v>
      </c>
      <c r="Q6" s="67"/>
      <c r="R6" s="9"/>
      <c r="S6"/>
      <c r="T6"/>
      <c r="U6"/>
      <c r="X6" s="168"/>
    </row>
    <row r="7" spans="1:30" ht="12.75">
      <c r="A7" s="89" t="s">
        <v>266</v>
      </c>
      <c r="C7" t="s">
        <v>176</v>
      </c>
      <c r="D7" s="45" t="s">
        <v>163</v>
      </c>
      <c r="F7" s="9">
        <v>5</v>
      </c>
      <c r="H7" s="81">
        <f>8*20000</f>
        <v>160000</v>
      </c>
      <c r="J7" s="4">
        <f>(H7/F7)*0.5</f>
        <v>16000</v>
      </c>
      <c r="L7" s="4">
        <f>H7/F7</f>
        <v>32000</v>
      </c>
      <c r="N7" s="4">
        <f>L7</f>
        <v>32000</v>
      </c>
      <c r="P7" s="4">
        <f>N7</f>
        <v>32000</v>
      </c>
      <c r="Q7" s="67"/>
      <c r="R7" s="170">
        <f>F7*12</f>
        <v>60</v>
      </c>
      <c r="S7" s="142"/>
      <c r="T7" s="171">
        <v>0.0825</v>
      </c>
      <c r="U7" s="142"/>
      <c r="V7" s="172">
        <f>(PMT(T7/12,R7,H7))*-1</f>
        <v>3263.4002664502705</v>
      </c>
      <c r="W7" s="168"/>
      <c r="X7" s="168">
        <f>V7*6</f>
        <v>19580.401598701625</v>
      </c>
      <c r="Y7" s="168"/>
      <c r="Z7" s="168">
        <f>V7*12</f>
        <v>39160.80319740325</v>
      </c>
      <c r="AA7" s="142"/>
      <c r="AB7" s="168">
        <f>Z7</f>
        <v>39160.80319740325</v>
      </c>
      <c r="AC7" s="142"/>
      <c r="AD7" s="168">
        <f>AB7</f>
        <v>39160.80319740325</v>
      </c>
    </row>
    <row r="8" spans="1:30" ht="12.75">
      <c r="A8" s="89"/>
      <c r="Q8" s="67"/>
      <c r="R8" s="170"/>
      <c r="S8" s="168"/>
      <c r="T8" s="168"/>
      <c r="U8" s="168"/>
      <c r="V8" s="172"/>
      <c r="W8" s="168"/>
      <c r="X8" s="168"/>
      <c r="Y8" s="168"/>
      <c r="Z8" s="168"/>
      <c r="AA8" s="142"/>
      <c r="AB8" s="168"/>
      <c r="AC8" s="142"/>
      <c r="AD8" s="168"/>
    </row>
    <row r="9" spans="1:30" ht="12.75">
      <c r="A9" s="89" t="s">
        <v>267</v>
      </c>
      <c r="B9" s="64">
        <v>1</v>
      </c>
      <c r="C9" t="s">
        <v>116</v>
      </c>
      <c r="D9" s="45" t="s">
        <v>163</v>
      </c>
      <c r="F9" s="9">
        <v>7</v>
      </c>
      <c r="H9" s="4">
        <v>83000</v>
      </c>
      <c r="J9" s="4">
        <f>(H9/F9)*0.5</f>
        <v>5928.571428571428</v>
      </c>
      <c r="L9" s="4">
        <f aca="true" t="shared" si="0" ref="L9:L25">H9/F9</f>
        <v>11857.142857142857</v>
      </c>
      <c r="N9" s="4">
        <f aca="true" t="shared" si="1" ref="N9:N25">L9</f>
        <v>11857.142857142857</v>
      </c>
      <c r="P9" s="4">
        <f aca="true" t="shared" si="2" ref="P9:P25">N9</f>
        <v>11857.142857142857</v>
      </c>
      <c r="Q9" s="67"/>
      <c r="R9" s="170">
        <f>F9*12</f>
        <v>84</v>
      </c>
      <c r="S9" s="168"/>
      <c r="T9" s="171">
        <v>0.0825</v>
      </c>
      <c r="U9" s="168"/>
      <c r="V9" s="172">
        <f>(PMT(T9/12,R9,H9))*-1</f>
        <v>1304.0178983398325</v>
      </c>
      <c r="W9" s="168"/>
      <c r="X9" s="168">
        <f aca="true" t="shared" si="3" ref="X9:X23">V9*6</f>
        <v>7824.107390038995</v>
      </c>
      <c r="Y9" s="168"/>
      <c r="Z9" s="168">
        <f aca="true" t="shared" si="4" ref="Z9:Z25">V9*12</f>
        <v>15648.21478007799</v>
      </c>
      <c r="AA9" s="142"/>
      <c r="AB9" s="168">
        <f aca="true" t="shared" si="5" ref="AB9:AB25">Z9</f>
        <v>15648.21478007799</v>
      </c>
      <c r="AC9" s="142"/>
      <c r="AD9" s="168">
        <f aca="true" t="shared" si="6" ref="AD9:AD25">AB9</f>
        <v>15648.21478007799</v>
      </c>
    </row>
    <row r="10" spans="1:30" ht="12.75">
      <c r="A10" s="89"/>
      <c r="Q10" s="67"/>
      <c r="R10" s="170"/>
      <c r="S10" s="168"/>
      <c r="T10" s="168"/>
      <c r="U10" s="168"/>
      <c r="V10" s="172"/>
      <c r="W10" s="168"/>
      <c r="X10" s="168"/>
      <c r="Y10" s="168"/>
      <c r="Z10" s="168"/>
      <c r="AA10" s="142"/>
      <c r="AB10" s="168"/>
      <c r="AC10" s="142"/>
      <c r="AD10" s="168"/>
    </row>
    <row r="11" spans="1:30" ht="12.75">
      <c r="A11" s="89" t="s">
        <v>267</v>
      </c>
      <c r="B11" s="64">
        <v>1</v>
      </c>
      <c r="C11" t="s">
        <v>117</v>
      </c>
      <c r="D11" s="45" t="s">
        <v>163</v>
      </c>
      <c r="F11" s="9">
        <v>7</v>
      </c>
      <c r="H11" s="81">
        <v>404044</v>
      </c>
      <c r="J11" s="4">
        <f>(H11/F11)*0.5</f>
        <v>28860.285714285714</v>
      </c>
      <c r="L11" s="4">
        <f t="shared" si="0"/>
        <v>57720.57142857143</v>
      </c>
      <c r="N11" s="4">
        <f t="shared" si="1"/>
        <v>57720.57142857143</v>
      </c>
      <c r="P11" s="4">
        <f t="shared" si="2"/>
        <v>57720.57142857143</v>
      </c>
      <c r="Q11" s="67"/>
      <c r="R11" s="170">
        <f>F11*12</f>
        <v>84</v>
      </c>
      <c r="S11" s="168"/>
      <c r="T11" s="171">
        <v>0.0825</v>
      </c>
      <c r="U11" s="168"/>
      <c r="V11" s="172">
        <f>(PMT(T11/12,R11,H11))*-1</f>
        <v>6347.959129118304</v>
      </c>
      <c r="W11" s="168"/>
      <c r="X11" s="168">
        <f t="shared" si="3"/>
        <v>38087.75477470983</v>
      </c>
      <c r="Y11" s="168"/>
      <c r="Z11" s="168">
        <f t="shared" si="4"/>
        <v>76175.50954941966</v>
      </c>
      <c r="AA11" s="142"/>
      <c r="AB11" s="168">
        <f t="shared" si="5"/>
        <v>76175.50954941966</v>
      </c>
      <c r="AC11" s="142"/>
      <c r="AD11" s="168">
        <f t="shared" si="6"/>
        <v>76175.50954941966</v>
      </c>
    </row>
    <row r="12" spans="1:30" ht="12.75">
      <c r="A12" s="89"/>
      <c r="Q12" s="67"/>
      <c r="R12" s="170"/>
      <c r="S12" s="168"/>
      <c r="T12" s="168"/>
      <c r="U12" s="168"/>
      <c r="V12" s="172"/>
      <c r="W12" s="168"/>
      <c r="X12" s="168"/>
      <c r="Y12" s="168"/>
      <c r="Z12" s="168"/>
      <c r="AA12" s="142"/>
      <c r="AB12" s="168"/>
      <c r="AC12" s="142"/>
      <c r="AD12" s="168"/>
    </row>
    <row r="13" spans="1:30" ht="12.75">
      <c r="A13" s="89"/>
      <c r="C13" s="10" t="s">
        <v>118</v>
      </c>
      <c r="D13" s="45" t="s">
        <v>163</v>
      </c>
      <c r="F13" s="9">
        <v>10</v>
      </c>
      <c r="H13" s="4">
        <v>160000</v>
      </c>
      <c r="J13" s="4">
        <f>(H13/F13)*0.5</f>
        <v>8000</v>
      </c>
      <c r="L13" s="4">
        <f t="shared" si="0"/>
        <v>16000</v>
      </c>
      <c r="N13" s="4">
        <f t="shared" si="1"/>
        <v>16000</v>
      </c>
      <c r="P13" s="4">
        <f t="shared" si="2"/>
        <v>16000</v>
      </c>
      <c r="Q13" s="67"/>
      <c r="R13" s="170">
        <v>84</v>
      </c>
      <c r="S13" s="168"/>
      <c r="T13" s="171">
        <v>0.0825</v>
      </c>
      <c r="U13" s="168"/>
      <c r="V13" s="172">
        <f>(PMT(T13/12,R13,H13))*-1</f>
        <v>2513.7694425828095</v>
      </c>
      <c r="W13" s="168"/>
      <c r="X13" s="168">
        <f t="shared" si="3"/>
        <v>15082.616655496857</v>
      </c>
      <c r="Y13" s="168"/>
      <c r="Z13" s="168">
        <f t="shared" si="4"/>
        <v>30165.233310993714</v>
      </c>
      <c r="AA13" s="142"/>
      <c r="AB13" s="168">
        <f t="shared" si="5"/>
        <v>30165.233310993714</v>
      </c>
      <c r="AC13" s="142"/>
      <c r="AD13" s="168">
        <f t="shared" si="6"/>
        <v>30165.233310993714</v>
      </c>
    </row>
    <row r="14" spans="1:30" ht="12.75">
      <c r="A14" s="92"/>
      <c r="Q14" s="67"/>
      <c r="V14" s="43"/>
      <c r="X14" s="168"/>
      <c r="AB14" s="4"/>
      <c r="AD14" s="4"/>
    </row>
    <row r="15" spans="1:30" ht="12.75">
      <c r="A15" s="89"/>
      <c r="B15" s="9">
        <v>1</v>
      </c>
      <c r="C15" t="s">
        <v>165</v>
      </c>
      <c r="D15" s="45" t="s">
        <v>163</v>
      </c>
      <c r="F15" s="9">
        <v>5</v>
      </c>
      <c r="H15" s="4">
        <v>113000</v>
      </c>
      <c r="J15" s="4">
        <f>(H15/F15)*0.5</f>
        <v>11300</v>
      </c>
      <c r="L15" s="4">
        <f t="shared" si="0"/>
        <v>22600</v>
      </c>
      <c r="N15" s="4">
        <f t="shared" si="1"/>
        <v>22600</v>
      </c>
      <c r="P15" s="4">
        <f t="shared" si="2"/>
        <v>22600</v>
      </c>
      <c r="Q15" s="67"/>
      <c r="R15" s="46">
        <f>F15*12</f>
        <v>60</v>
      </c>
      <c r="T15" s="21">
        <v>0.0825</v>
      </c>
      <c r="V15" s="43">
        <f>(PMT(T15/12,R15,H15))*-1</f>
        <v>2304.776438180503</v>
      </c>
      <c r="X15" s="168">
        <f t="shared" si="3"/>
        <v>13828.65862908302</v>
      </c>
      <c r="Z15" s="4">
        <f t="shared" si="4"/>
        <v>27657.31725816604</v>
      </c>
      <c r="AB15" s="4">
        <f t="shared" si="5"/>
        <v>27657.31725816604</v>
      </c>
      <c r="AD15" s="4">
        <f t="shared" si="6"/>
        <v>27657.31725816604</v>
      </c>
    </row>
    <row r="16" spans="1:30" ht="12.75">
      <c r="A16" s="92"/>
      <c r="Q16" s="67"/>
      <c r="V16" s="43"/>
      <c r="X16" s="168"/>
      <c r="AB16" s="4"/>
      <c r="AD16" s="4"/>
    </row>
    <row r="17" spans="1:30" ht="12.75">
      <c r="A17" s="89"/>
      <c r="B17" s="9">
        <v>3</v>
      </c>
      <c r="C17" t="s">
        <v>166</v>
      </c>
      <c r="D17" s="45" t="s">
        <v>163</v>
      </c>
      <c r="F17" s="9">
        <v>5</v>
      </c>
      <c r="H17" s="4">
        <v>484200</v>
      </c>
      <c r="J17" s="4">
        <f>(H17/F17)*0.5</f>
        <v>48420</v>
      </c>
      <c r="L17" s="4">
        <f t="shared" si="0"/>
        <v>96840</v>
      </c>
      <c r="N17" s="4">
        <f t="shared" si="1"/>
        <v>96840</v>
      </c>
      <c r="P17" s="4">
        <f t="shared" si="2"/>
        <v>96840</v>
      </c>
      <c r="Q17" s="67"/>
      <c r="R17" s="46">
        <f>F17*12</f>
        <v>60</v>
      </c>
      <c r="T17" s="21">
        <v>0.0825</v>
      </c>
      <c r="V17" s="43">
        <f>(PMT(T17/12,R17,H17))*-1</f>
        <v>9875.86505634513</v>
      </c>
      <c r="X17" s="168">
        <f t="shared" si="3"/>
        <v>59255.19033807078</v>
      </c>
      <c r="Z17" s="4">
        <f t="shared" si="4"/>
        <v>118510.38067614156</v>
      </c>
      <c r="AB17" s="4">
        <f t="shared" si="5"/>
        <v>118510.38067614156</v>
      </c>
      <c r="AD17" s="4">
        <f t="shared" si="6"/>
        <v>118510.38067614156</v>
      </c>
    </row>
    <row r="18" spans="1:30" ht="12.75">
      <c r="A18" s="92"/>
      <c r="Q18" s="67"/>
      <c r="V18" s="43"/>
      <c r="X18" s="168"/>
      <c r="AB18" s="4"/>
      <c r="AD18" s="4"/>
    </row>
    <row r="19" spans="1:30" ht="12.75">
      <c r="A19" s="89"/>
      <c r="B19" s="64">
        <v>1</v>
      </c>
      <c r="C19" t="s">
        <v>167</v>
      </c>
      <c r="D19" s="45" t="s">
        <v>163</v>
      </c>
      <c r="F19" s="9">
        <v>5</v>
      </c>
      <c r="H19" s="4">
        <v>72000</v>
      </c>
      <c r="J19" s="4">
        <f>(H19/F19)*0.5</f>
        <v>7200</v>
      </c>
      <c r="L19" s="4">
        <f t="shared" si="0"/>
        <v>14400</v>
      </c>
      <c r="N19" s="4">
        <f t="shared" si="1"/>
        <v>14400</v>
      </c>
      <c r="P19" s="4">
        <f t="shared" si="2"/>
        <v>14400</v>
      </c>
      <c r="Q19" s="67"/>
      <c r="R19" s="170">
        <f>F19*12</f>
        <v>60</v>
      </c>
      <c r="S19" s="168"/>
      <c r="T19" s="171">
        <v>0.0825</v>
      </c>
      <c r="U19" s="168"/>
      <c r="V19" s="172">
        <f>(PMT(T19/12,R19,H19))*-1</f>
        <v>1468.5301199026217</v>
      </c>
      <c r="W19" s="168"/>
      <c r="X19" s="168">
        <f t="shared" si="3"/>
        <v>8811.18071941573</v>
      </c>
      <c r="Y19" s="168"/>
      <c r="Z19" s="168">
        <f t="shared" si="4"/>
        <v>17622.36143883146</v>
      </c>
      <c r="AA19" s="142"/>
      <c r="AB19" s="168">
        <f t="shared" si="5"/>
        <v>17622.36143883146</v>
      </c>
      <c r="AC19" s="142"/>
      <c r="AD19" s="168">
        <f t="shared" si="6"/>
        <v>17622.36143883146</v>
      </c>
    </row>
    <row r="20" spans="1:30" ht="12.75">
      <c r="A20" s="89"/>
      <c r="Q20" s="67"/>
      <c r="V20" s="43"/>
      <c r="X20" s="168"/>
      <c r="AB20" s="4"/>
      <c r="AD20" s="4"/>
    </row>
    <row r="21" spans="1:30" ht="12.75">
      <c r="A21" s="89"/>
      <c r="C21" t="s">
        <v>310</v>
      </c>
      <c r="D21" s="45" t="s">
        <v>163</v>
      </c>
      <c r="F21" s="9">
        <v>5</v>
      </c>
      <c r="H21" s="4">
        <v>150000</v>
      </c>
      <c r="J21" s="4">
        <f>(H21/F21)*0.5</f>
        <v>15000</v>
      </c>
      <c r="L21" s="4">
        <f t="shared" si="0"/>
        <v>30000</v>
      </c>
      <c r="N21" s="4">
        <f t="shared" si="1"/>
        <v>30000</v>
      </c>
      <c r="P21" s="4">
        <f t="shared" si="2"/>
        <v>30000</v>
      </c>
      <c r="Q21" s="67"/>
      <c r="R21" s="46">
        <f>F21*12</f>
        <v>60</v>
      </c>
      <c r="T21" s="21">
        <v>0.0825</v>
      </c>
      <c r="V21" s="43">
        <f>(PMT(T21/12,R21,H21))*-1</f>
        <v>3059.4377497971286</v>
      </c>
      <c r="X21" s="168">
        <f t="shared" si="3"/>
        <v>18356.62649878277</v>
      </c>
      <c r="Z21" s="4">
        <f t="shared" si="4"/>
        <v>36713.25299756554</v>
      </c>
      <c r="AB21" s="4">
        <f t="shared" si="5"/>
        <v>36713.25299756554</v>
      </c>
      <c r="AD21" s="4">
        <f t="shared" si="6"/>
        <v>36713.25299756554</v>
      </c>
    </row>
    <row r="22" spans="1:30" ht="12.75">
      <c r="A22" s="92"/>
      <c r="Q22" s="67"/>
      <c r="V22" s="43"/>
      <c r="X22" s="168"/>
      <c r="AB22" s="4"/>
      <c r="AD22" s="4"/>
    </row>
    <row r="23" spans="1:30" ht="12.75">
      <c r="A23" s="89" t="s">
        <v>269</v>
      </c>
      <c r="B23" s="64">
        <v>1</v>
      </c>
      <c r="C23" t="s">
        <v>168</v>
      </c>
      <c r="D23" s="45" t="s">
        <v>163</v>
      </c>
      <c r="F23" s="9">
        <v>7</v>
      </c>
      <c r="H23" s="84">
        <f>150000*0.95</f>
        <v>142500</v>
      </c>
      <c r="J23" s="4">
        <f>(H23/F23)*0.5</f>
        <v>10178.57142857143</v>
      </c>
      <c r="L23" s="4">
        <f t="shared" si="0"/>
        <v>20357.14285714286</v>
      </c>
      <c r="N23" s="4">
        <f t="shared" si="1"/>
        <v>20357.14285714286</v>
      </c>
      <c r="P23" s="4">
        <f t="shared" si="2"/>
        <v>20357.14285714286</v>
      </c>
      <c r="Q23" s="67"/>
      <c r="R23" s="170">
        <f>F23*12</f>
        <v>84</v>
      </c>
      <c r="S23" s="168"/>
      <c r="T23" s="171">
        <v>0.0825</v>
      </c>
      <c r="U23" s="168"/>
      <c r="V23" s="172">
        <f>(PMT(T23/12,R23,H23))*-1</f>
        <v>2238.825909800315</v>
      </c>
      <c r="W23" s="168"/>
      <c r="X23" s="168">
        <f t="shared" si="3"/>
        <v>13432.955458801891</v>
      </c>
      <c r="Y23" s="168"/>
      <c r="Z23" s="168">
        <f t="shared" si="4"/>
        <v>26865.910917603782</v>
      </c>
      <c r="AA23" s="142"/>
      <c r="AB23" s="168">
        <f t="shared" si="5"/>
        <v>26865.910917603782</v>
      </c>
      <c r="AC23" s="142"/>
      <c r="AD23" s="168">
        <f t="shared" si="6"/>
        <v>26865.910917603782</v>
      </c>
    </row>
    <row r="24" spans="1:30" ht="12.75">
      <c r="A24" s="102"/>
      <c r="Q24" s="67"/>
      <c r="V24" s="43"/>
      <c r="X24" s="168"/>
      <c r="AB24" s="4"/>
      <c r="AD24" s="4"/>
    </row>
    <row r="25" spans="1:30" ht="12.75">
      <c r="A25" s="89"/>
      <c r="B25" s="64">
        <v>3</v>
      </c>
      <c r="C25" t="s">
        <v>312</v>
      </c>
      <c r="D25" s="45" t="s">
        <v>177</v>
      </c>
      <c r="F25" s="9">
        <v>5</v>
      </c>
      <c r="H25" s="4">
        <v>560010</v>
      </c>
      <c r="J25" s="84">
        <f>(H25/F25)*0.5</f>
        <v>56001</v>
      </c>
      <c r="L25" s="4">
        <f t="shared" si="0"/>
        <v>112002</v>
      </c>
      <c r="N25" s="4">
        <f t="shared" si="1"/>
        <v>112002</v>
      </c>
      <c r="P25" s="4">
        <f t="shared" si="2"/>
        <v>112002</v>
      </c>
      <c r="Q25" s="67"/>
      <c r="R25" s="46">
        <f>F25*12</f>
        <v>60</v>
      </c>
      <c r="T25" s="21">
        <v>0.0825</v>
      </c>
      <c r="V25" s="43">
        <f>(PMT(T25/12,R25,H25))*-1</f>
        <v>11422.1048950926</v>
      </c>
      <c r="X25" s="168">
        <f>V25*3</f>
        <v>34266.3146852778</v>
      </c>
      <c r="Z25" s="4">
        <f t="shared" si="4"/>
        <v>137065.2587411112</v>
      </c>
      <c r="AB25" s="4">
        <f t="shared" si="5"/>
        <v>137065.2587411112</v>
      </c>
      <c r="AD25" s="4">
        <f t="shared" si="6"/>
        <v>137065.2587411112</v>
      </c>
    </row>
    <row r="26" spans="1:30" ht="12.75">
      <c r="A26" s="89"/>
      <c r="D26" s="45"/>
      <c r="Q26" s="67"/>
      <c r="T26" s="21"/>
      <c r="V26" s="43"/>
      <c r="AB26" s="4"/>
      <c r="AD26" s="4"/>
    </row>
    <row r="27" spans="1:30" ht="12.75">
      <c r="A27" s="89" t="s">
        <v>213</v>
      </c>
      <c r="C27" s="146" t="s">
        <v>206</v>
      </c>
      <c r="D27" s="45"/>
      <c r="H27" s="4">
        <f>+'Pestoni Leasing - C-1'!I43</f>
        <v>118498</v>
      </c>
      <c r="J27" s="84">
        <f>+'Pestoni Leasing - C-1'!J43</f>
        <v>11849.800000000001</v>
      </c>
      <c r="L27" s="4">
        <f>+J27*2</f>
        <v>23699.600000000002</v>
      </c>
      <c r="N27" s="4">
        <f>+L27</f>
        <v>23699.600000000002</v>
      </c>
      <c r="P27" s="4">
        <f>+N27</f>
        <v>23699.600000000002</v>
      </c>
      <c r="Q27" s="67"/>
      <c r="R27" s="178" t="s">
        <v>488</v>
      </c>
      <c r="S27" s="84"/>
      <c r="T27" s="94"/>
      <c r="U27" s="84"/>
      <c r="V27" s="181" t="s">
        <v>492</v>
      </c>
      <c r="W27" s="84"/>
      <c r="X27" s="84">
        <f>-'Sum - proj debt C-2'!E31</f>
        <v>-146275.56951477678</v>
      </c>
      <c r="AB27" s="4"/>
      <c r="AD27" s="4"/>
    </row>
    <row r="28" spans="8:30" ht="12.75">
      <c r="H28" s="23"/>
      <c r="J28" s="23"/>
      <c r="L28" s="23"/>
      <c r="N28" s="23"/>
      <c r="P28" s="23"/>
      <c r="Q28" s="67"/>
      <c r="V28" s="43"/>
      <c r="X28" s="23"/>
      <c r="Z28" s="23"/>
      <c r="AB28" s="19"/>
      <c r="AD28" s="19"/>
    </row>
    <row r="29" ht="12.75">
      <c r="Q29" s="67"/>
    </row>
    <row r="30" spans="8:30" ht="13.5" thickBot="1">
      <c r="H30" s="31">
        <f>SUM(H7:H27)</f>
        <v>2447252</v>
      </c>
      <c r="J30" s="32">
        <f>SUM(J7:J27)</f>
        <v>218738.22857142857</v>
      </c>
      <c r="L30" s="31">
        <f>SUM(L7:L27)</f>
        <v>437476.45714285714</v>
      </c>
      <c r="N30" s="31">
        <f>SUM(N7:N27)</f>
        <v>437476.45714285714</v>
      </c>
      <c r="P30" s="31">
        <f>SUM(P7:P27)</f>
        <v>437476.45714285714</v>
      </c>
      <c r="Q30" s="67"/>
      <c r="X30" s="149">
        <f>SUM(X7:X27)</f>
        <v>82250.23723360253</v>
      </c>
      <c r="Y30" s="32"/>
      <c r="Z30" s="31">
        <f>SUM(Z7:Z25)</f>
        <v>525584.2428673143</v>
      </c>
      <c r="AA30" s="34"/>
      <c r="AB30" s="31">
        <f>SUM(AB7:AB25)</f>
        <v>525584.2428673143</v>
      </c>
      <c r="AC30" s="34"/>
      <c r="AD30" s="31">
        <f>SUM(AD7:AD25)</f>
        <v>525584.2428673143</v>
      </c>
    </row>
    <row r="31" spans="17:24" ht="13.5" thickTop="1">
      <c r="Q31" s="67"/>
      <c r="X31" s="90" t="s">
        <v>289</v>
      </c>
    </row>
    <row r="32" spans="1:30" ht="12.75">
      <c r="A32" s="55" t="s">
        <v>188</v>
      </c>
      <c r="D32" s="74"/>
      <c r="J32" s="23">
        <f>761374+15000</f>
        <v>776374</v>
      </c>
      <c r="Q32" s="67"/>
      <c r="V32" s="167"/>
      <c r="W32" s="168"/>
      <c r="X32" s="88"/>
      <c r="Y32" s="88"/>
      <c r="Z32" s="88"/>
      <c r="AA32" s="169"/>
      <c r="AB32" s="88"/>
      <c r="AC32" s="169"/>
      <c r="AD32" s="88"/>
    </row>
    <row r="33" spans="17:30" ht="12.75">
      <c r="Q33" s="67"/>
      <c r="V33" s="142"/>
      <c r="W33" s="168"/>
      <c r="X33" s="88"/>
      <c r="Y33" s="88"/>
      <c r="Z33" s="88"/>
      <c r="AA33" s="169"/>
      <c r="AB33" s="169"/>
      <c r="AC33" s="169"/>
      <c r="AD33" s="169"/>
    </row>
    <row r="34" spans="3:30" ht="13.5" thickBot="1">
      <c r="C34" t="s">
        <v>174</v>
      </c>
      <c r="J34" s="31">
        <f>J30+J32</f>
        <v>995112.2285714286</v>
      </c>
      <c r="Q34" s="67"/>
      <c r="R34" s="170"/>
      <c r="S34" s="168"/>
      <c r="T34" s="4" t="s">
        <v>461</v>
      </c>
      <c r="V34" s="142"/>
      <c r="W34" s="168"/>
      <c r="X34" s="88"/>
      <c r="Y34" s="88"/>
      <c r="Z34" s="88"/>
      <c r="AA34" s="169"/>
      <c r="AB34" s="88"/>
      <c r="AC34" s="169"/>
      <c r="AD34" s="88"/>
    </row>
    <row r="35" spans="10:30" ht="13.5" thickTop="1">
      <c r="J35" s="90" t="s">
        <v>286</v>
      </c>
      <c r="Q35" s="67"/>
      <c r="V35" s="142"/>
      <c r="W35" s="168"/>
      <c r="X35" s="168"/>
      <c r="Y35" s="168"/>
      <c r="Z35" s="168"/>
      <c r="AA35" s="142"/>
      <c r="AB35" s="142"/>
      <c r="AC35" s="142"/>
      <c r="AD35" s="142"/>
    </row>
    <row r="36" spans="10:20" ht="12.75">
      <c r="J36" s="32"/>
      <c r="Q36" s="67"/>
      <c r="R36" s="95" t="s">
        <v>213</v>
      </c>
      <c r="T36" s="4" t="s">
        <v>452</v>
      </c>
    </row>
    <row r="37" spans="1:20" ht="12.75">
      <c r="A37" s="89" t="s">
        <v>213</v>
      </c>
      <c r="C37" t="s">
        <v>316</v>
      </c>
      <c r="J37" s="32"/>
      <c r="Q37" s="67"/>
      <c r="R37" s="95"/>
      <c r="T37" s="77" t="s">
        <v>453</v>
      </c>
    </row>
    <row r="38" spans="3:20" ht="12.75">
      <c r="C38" t="s">
        <v>303</v>
      </c>
      <c r="J38" s="32"/>
      <c r="Q38" s="67"/>
      <c r="R38" s="100" t="s">
        <v>214</v>
      </c>
      <c r="T38" s="4" t="s">
        <v>271</v>
      </c>
    </row>
    <row r="39" spans="10:20" ht="12.75">
      <c r="J39" s="32"/>
      <c r="Q39" s="67"/>
      <c r="T39" s="77" t="s">
        <v>272</v>
      </c>
    </row>
    <row r="40" spans="1:18" ht="12.75">
      <c r="A40" s="89" t="s">
        <v>266</v>
      </c>
      <c r="C40" t="s">
        <v>304</v>
      </c>
      <c r="Q40" s="67"/>
      <c r="R40" s="100"/>
    </row>
    <row r="41" spans="1:20" ht="12.75">
      <c r="A41" s="89"/>
      <c r="C41" s="141" t="s">
        <v>305</v>
      </c>
      <c r="Q41" s="67"/>
      <c r="R41" s="180"/>
      <c r="T41" s="75" t="s">
        <v>491</v>
      </c>
    </row>
    <row r="42" spans="1:20" ht="12.75">
      <c r="A42" s="89" t="s">
        <v>267</v>
      </c>
      <c r="B42" s="147"/>
      <c r="C42" t="s">
        <v>268</v>
      </c>
      <c r="Q42" s="67"/>
      <c r="R42" s="100"/>
      <c r="T42" s="152"/>
    </row>
    <row r="43" spans="1:20" ht="12.75">
      <c r="A43" s="89"/>
      <c r="B43" s="98"/>
      <c r="C43" t="s">
        <v>306</v>
      </c>
      <c r="Q43" s="67"/>
      <c r="R43" s="100"/>
      <c r="T43" s="152"/>
    </row>
    <row r="44" spans="1:20" ht="12.75">
      <c r="A44" s="89"/>
      <c r="B44" s="98"/>
      <c r="C44" t="s">
        <v>307</v>
      </c>
      <c r="F44" s="64"/>
      <c r="Q44" s="67"/>
      <c r="R44" s="100"/>
      <c r="T44" s="152"/>
    </row>
    <row r="45" spans="1:20" ht="12.75">
      <c r="A45" s="89"/>
      <c r="B45" s="98"/>
      <c r="C45" s="141" t="s">
        <v>439</v>
      </c>
      <c r="F45" s="64"/>
      <c r="Q45" s="67"/>
      <c r="T45" s="152"/>
    </row>
    <row r="46" spans="1:20" ht="12.75">
      <c r="A46" s="89"/>
      <c r="B46" s="98"/>
      <c r="C46" s="141" t="s">
        <v>451</v>
      </c>
      <c r="F46" s="64"/>
      <c r="Q46" s="67"/>
      <c r="T46" s="77"/>
    </row>
    <row r="47" spans="1:17" ht="12.75">
      <c r="A47" s="89" t="s">
        <v>269</v>
      </c>
      <c r="C47" t="s">
        <v>270</v>
      </c>
      <c r="Q47" s="67"/>
    </row>
    <row r="48" spans="3:18" ht="12.75">
      <c r="C48" s="97" t="s">
        <v>313</v>
      </c>
      <c r="F48"/>
      <c r="H48" s="73"/>
      <c r="Q48" s="67"/>
      <c r="R48" s="76"/>
    </row>
    <row r="49" spans="3:18" ht="12.75">
      <c r="C49" s="10" t="s">
        <v>314</v>
      </c>
      <c r="F49" s="64"/>
      <c r="Q49" s="67"/>
      <c r="R49" s="75"/>
    </row>
    <row r="50" spans="3:18" ht="12.75">
      <c r="C50" s="141" t="s">
        <v>440</v>
      </c>
      <c r="F50" s="64"/>
      <c r="Q50" s="67"/>
      <c r="R50" s="77"/>
    </row>
    <row r="51" spans="3:18" ht="12.75">
      <c r="C51" s="10" t="s">
        <v>315</v>
      </c>
      <c r="F51" s="64"/>
      <c r="N51" s="80"/>
      <c r="Q51" s="67"/>
      <c r="R51" s="75"/>
    </row>
    <row r="52" spans="3:18" ht="12.75">
      <c r="C52" s="141" t="s">
        <v>441</v>
      </c>
      <c r="F52" s="64"/>
      <c r="Q52" s="67"/>
      <c r="R52" s="77"/>
    </row>
    <row r="53" spans="1:17" ht="12.75">
      <c r="A53" s="79"/>
      <c r="B53" s="93"/>
      <c r="C53" t="s">
        <v>444</v>
      </c>
      <c r="Q53" s="67"/>
    </row>
    <row r="54" spans="2:17" ht="12.75">
      <c r="B54" s="99"/>
      <c r="C54" t="s">
        <v>445</v>
      </c>
      <c r="Q54" s="67"/>
    </row>
    <row r="55" spans="3:17" ht="12.75">
      <c r="C55" t="s">
        <v>311</v>
      </c>
      <c r="Q55" s="67"/>
    </row>
    <row r="56" ht="12.75">
      <c r="Q56" s="67"/>
    </row>
    <row r="57" ht="12.75">
      <c r="Q57" s="67"/>
    </row>
    <row r="58" ht="12.75">
      <c r="Q58" s="67"/>
    </row>
    <row r="59" ht="12.75">
      <c r="Q59" s="67"/>
    </row>
    <row r="60" ht="12.75">
      <c r="Q60" s="67"/>
    </row>
    <row r="61" ht="12.75">
      <c r="Q61" s="67"/>
    </row>
    <row r="62" ht="12.75">
      <c r="Q62" s="67"/>
    </row>
    <row r="63" ht="12.75">
      <c r="Q63" s="67"/>
    </row>
    <row r="64" ht="12.75">
      <c r="Q64" s="67"/>
    </row>
    <row r="65" ht="12.75">
      <c r="Q65" s="67"/>
    </row>
    <row r="66" ht="12.75">
      <c r="Q66" s="67"/>
    </row>
    <row r="67" ht="12.75">
      <c r="Q67" s="67"/>
    </row>
    <row r="68" ht="12.75">
      <c r="Q68" s="67"/>
    </row>
    <row r="69" ht="12.75">
      <c r="Q69" s="67"/>
    </row>
    <row r="70" ht="12.75">
      <c r="Q70" s="67"/>
    </row>
    <row r="71" ht="12.75">
      <c r="Q71" s="67"/>
    </row>
    <row r="72" ht="12.75">
      <c r="Q72" s="67"/>
    </row>
    <row r="73" ht="12.75">
      <c r="Q73" s="67"/>
    </row>
    <row r="74" ht="12.75">
      <c r="Q74" s="67"/>
    </row>
    <row r="75" ht="12.75">
      <c r="Q75" s="67"/>
    </row>
    <row r="76" ht="12.75">
      <c r="Q76" s="67"/>
    </row>
    <row r="77" ht="12.75">
      <c r="Q77" s="67"/>
    </row>
    <row r="78" ht="12.75">
      <c r="Q78" s="67"/>
    </row>
    <row r="79" ht="12.75">
      <c r="Q79" s="67"/>
    </row>
    <row r="80" ht="12.75">
      <c r="Q80" s="67"/>
    </row>
    <row r="81" ht="12.75">
      <c r="Q81" s="67"/>
    </row>
    <row r="82" ht="12.75">
      <c r="Q82" s="67"/>
    </row>
    <row r="83" ht="12.75">
      <c r="Q83" s="67"/>
    </row>
    <row r="84" ht="12.75">
      <c r="Q84" s="67"/>
    </row>
  </sheetData>
  <printOptions/>
  <pageMargins left="0.25" right="0.25" top="0.5" bottom="0.5" header="0.5" footer="0.25"/>
  <pageSetup horizontalDpi="300" verticalDpi="300" orientation="landscape" paperSize="5" scale="90" r:id="rId2"/>
  <headerFooter alignWithMargins="0">
    <oddFooter>&amp;C&amp;A.&amp;P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4">
      <selection activeCell="B47" sqref="B47"/>
    </sheetView>
  </sheetViews>
  <sheetFormatPr defaultColWidth="9.140625" defaultRowHeight="12.75"/>
  <cols>
    <col min="1" max="1" width="4.7109375" style="0" customWidth="1"/>
    <col min="6" max="6" width="13.140625" style="0" customWidth="1"/>
    <col min="7" max="7" width="9.140625" style="4" customWidth="1"/>
    <col min="8" max="8" width="1.7109375" style="4" customWidth="1"/>
    <col min="9" max="9" width="9.140625" style="4" customWidth="1"/>
    <col min="10" max="10" width="11.28125" style="0" bestFit="1" customWidth="1"/>
  </cols>
  <sheetData>
    <row r="1" ht="15">
      <c r="A1" s="2" t="s">
        <v>0</v>
      </c>
    </row>
    <row r="2" ht="15">
      <c r="A2" s="2" t="s">
        <v>219</v>
      </c>
    </row>
    <row r="4" ht="12.75">
      <c r="A4" s="13" t="s">
        <v>220</v>
      </c>
    </row>
    <row r="5" spans="2:7" ht="12.75">
      <c r="B5" s="20" t="s">
        <v>221</v>
      </c>
      <c r="G5" s="4">
        <v>10000</v>
      </c>
    </row>
    <row r="6" spans="2:7" ht="12.75">
      <c r="B6" s="20" t="s">
        <v>222</v>
      </c>
      <c r="G6" s="4">
        <v>10000</v>
      </c>
    </row>
    <row r="7" spans="2:7" ht="12.75">
      <c r="B7" s="20" t="s">
        <v>223</v>
      </c>
      <c r="G7" s="4">
        <v>10000</v>
      </c>
    </row>
    <row r="8" spans="2:7" ht="12.75">
      <c r="B8" t="s">
        <v>224</v>
      </c>
      <c r="G8" s="4">
        <v>6000</v>
      </c>
    </row>
    <row r="9" spans="2:7" ht="12.75">
      <c r="B9" s="20" t="s">
        <v>225</v>
      </c>
      <c r="G9" s="4">
        <v>15000</v>
      </c>
    </row>
    <row r="10" spans="2:7" ht="12.75">
      <c r="B10" s="20" t="s">
        <v>226</v>
      </c>
      <c r="G10" s="4">
        <v>15000</v>
      </c>
    </row>
    <row r="11" spans="2:7" ht="12.75">
      <c r="B11" s="20" t="s">
        <v>227</v>
      </c>
      <c r="G11" s="4">
        <v>15000</v>
      </c>
    </row>
    <row r="12" spans="2:7" ht="12.75">
      <c r="B12" s="20" t="s">
        <v>228</v>
      </c>
      <c r="G12" s="23">
        <v>15000</v>
      </c>
    </row>
    <row r="13" spans="6:10" ht="12.75">
      <c r="F13" t="s">
        <v>255</v>
      </c>
      <c r="I13" s="81">
        <f>SUM(G5:G12)</f>
        <v>96000</v>
      </c>
      <c r="J13" s="82">
        <f>+I13/5/2</f>
        <v>9600</v>
      </c>
    </row>
    <row r="14" ht="12.75">
      <c r="A14" s="13" t="s">
        <v>229</v>
      </c>
    </row>
    <row r="15" spans="2:7" ht="12.75">
      <c r="B15" t="s">
        <v>230</v>
      </c>
      <c r="G15" s="4">
        <v>200</v>
      </c>
    </row>
    <row r="16" spans="2:7" ht="12.75">
      <c r="B16" t="s">
        <v>231</v>
      </c>
      <c r="G16" s="4">
        <v>5260</v>
      </c>
    </row>
    <row r="17" spans="2:7" ht="12.75">
      <c r="B17" t="s">
        <v>232</v>
      </c>
      <c r="G17" s="4">
        <v>25</v>
      </c>
    </row>
    <row r="18" spans="2:7" ht="12.75">
      <c r="B18" t="s">
        <v>233</v>
      </c>
      <c r="G18" s="4">
        <v>8744</v>
      </c>
    </row>
    <row r="19" spans="2:7" ht="12.75">
      <c r="B19" t="s">
        <v>234</v>
      </c>
      <c r="G19" s="4">
        <v>1641</v>
      </c>
    </row>
    <row r="20" spans="2:7" ht="12.75">
      <c r="B20" t="s">
        <v>235</v>
      </c>
      <c r="G20" s="4">
        <v>59582</v>
      </c>
    </row>
    <row r="21" spans="2:7" ht="12.75">
      <c r="B21" t="s">
        <v>236</v>
      </c>
      <c r="G21" s="23">
        <v>14460</v>
      </c>
    </row>
    <row r="22" spans="6:10" ht="12.75">
      <c r="F22" s="91" t="s">
        <v>442</v>
      </c>
      <c r="I22" s="4">
        <f>SUM(G15:G21)</f>
        <v>89912</v>
      </c>
      <c r="J22" s="143">
        <f>+I22/5/2</f>
        <v>8991.2</v>
      </c>
    </row>
    <row r="23" ht="12.75">
      <c r="A23" s="13" t="s">
        <v>237</v>
      </c>
    </row>
    <row r="24" spans="2:7" ht="12.75">
      <c r="B24" t="s">
        <v>238</v>
      </c>
      <c r="G24" s="4">
        <v>600</v>
      </c>
    </row>
    <row r="25" spans="2:7" ht="12.75">
      <c r="B25" t="s">
        <v>239</v>
      </c>
      <c r="G25" s="4">
        <v>40</v>
      </c>
    </row>
    <row r="26" spans="2:7" ht="12.75">
      <c r="B26" t="s">
        <v>240</v>
      </c>
      <c r="G26" s="4">
        <v>500</v>
      </c>
    </row>
    <row r="27" spans="2:7" ht="12.75">
      <c r="B27" t="s">
        <v>241</v>
      </c>
      <c r="G27" s="4">
        <v>4500</v>
      </c>
    </row>
    <row r="28" spans="2:7" ht="12.75">
      <c r="B28" t="s">
        <v>242</v>
      </c>
      <c r="G28" s="4">
        <v>1000</v>
      </c>
    </row>
    <row r="29" spans="2:7" ht="12.75">
      <c r="B29" t="s">
        <v>243</v>
      </c>
      <c r="G29" s="4">
        <v>196</v>
      </c>
    </row>
    <row r="30" spans="2:7" ht="12.75">
      <c r="B30" t="s">
        <v>244</v>
      </c>
      <c r="G30" s="4">
        <v>2000</v>
      </c>
    </row>
    <row r="31" spans="2:7" ht="12.75">
      <c r="B31" t="s">
        <v>245</v>
      </c>
      <c r="G31" s="4">
        <v>700</v>
      </c>
    </row>
    <row r="32" spans="2:7" ht="12.75">
      <c r="B32" t="s">
        <v>246</v>
      </c>
      <c r="G32" s="4">
        <v>1500</v>
      </c>
    </row>
    <row r="33" spans="2:7" ht="12.75">
      <c r="B33" t="s">
        <v>247</v>
      </c>
      <c r="G33" s="4">
        <v>50</v>
      </c>
    </row>
    <row r="34" spans="2:7" ht="12.75">
      <c r="B34" t="s">
        <v>248</v>
      </c>
      <c r="G34" s="4">
        <v>2000</v>
      </c>
    </row>
    <row r="35" spans="2:7" ht="12.75">
      <c r="B35" t="s">
        <v>249</v>
      </c>
      <c r="G35" s="4">
        <v>2500</v>
      </c>
    </row>
    <row r="36" spans="2:7" ht="12.75">
      <c r="B36" t="s">
        <v>250</v>
      </c>
      <c r="G36" s="4">
        <v>500</v>
      </c>
    </row>
    <row r="37" spans="2:7" ht="12.75">
      <c r="B37" t="s">
        <v>251</v>
      </c>
      <c r="G37" s="4">
        <v>7000</v>
      </c>
    </row>
    <row r="38" spans="2:7" ht="12.75">
      <c r="B38" s="20" t="s">
        <v>252</v>
      </c>
      <c r="G38" s="4">
        <v>2500</v>
      </c>
    </row>
    <row r="39" spans="2:7" ht="12.75">
      <c r="B39" t="s">
        <v>253</v>
      </c>
      <c r="G39" s="4">
        <v>1000</v>
      </c>
    </row>
    <row r="40" spans="2:7" ht="12.75">
      <c r="B40" t="s">
        <v>254</v>
      </c>
      <c r="G40" s="23">
        <v>2000</v>
      </c>
    </row>
    <row r="41" spans="6:10" ht="12.75">
      <c r="F41" s="91" t="s">
        <v>442</v>
      </c>
      <c r="I41" s="23">
        <f>SUM(G24:G40)</f>
        <v>28586</v>
      </c>
      <c r="J41" s="145">
        <f>+I41/5/2</f>
        <v>2858.6</v>
      </c>
    </row>
    <row r="43" spans="9:10" ht="13.5" thickBot="1">
      <c r="I43" s="31">
        <f>SUM(I22:I41)</f>
        <v>118498</v>
      </c>
      <c r="J43" s="144">
        <f>SUM(J22:J41)</f>
        <v>11849.800000000001</v>
      </c>
    </row>
    <row r="44" spans="1:10" ht="13.5" thickTop="1">
      <c r="A44" s="90" t="s">
        <v>213</v>
      </c>
      <c r="B44" t="s">
        <v>256</v>
      </c>
      <c r="I44" s="90" t="s">
        <v>213</v>
      </c>
      <c r="J44" s="89" t="s">
        <v>214</v>
      </c>
    </row>
    <row r="45" spans="2:10" ht="12.75">
      <c r="B45" t="s">
        <v>257</v>
      </c>
      <c r="J45" s="1"/>
    </row>
    <row r="46" ht="12.75">
      <c r="B46" t="s">
        <v>258</v>
      </c>
    </row>
    <row r="47" spans="1:2" ht="12.75">
      <c r="A47" s="1"/>
      <c r="B47" s="141" t="s">
        <v>309</v>
      </c>
    </row>
    <row r="48" spans="1:2" ht="12.75">
      <c r="A48" s="89" t="s">
        <v>214</v>
      </c>
      <c r="B48" t="s">
        <v>259</v>
      </c>
    </row>
    <row r="49" ht="12.75">
      <c r="B49" t="s">
        <v>260</v>
      </c>
    </row>
    <row r="51" spans="1:2" ht="12.75">
      <c r="A51" s="91"/>
      <c r="B51" t="s">
        <v>446</v>
      </c>
    </row>
    <row r="52" spans="1:2" ht="12.75">
      <c r="A52" s="142"/>
      <c r="B52" s="141" t="s">
        <v>443</v>
      </c>
    </row>
    <row r="54" ht="12.75">
      <c r="B54" t="s">
        <v>301</v>
      </c>
    </row>
    <row r="55" ht="12.75">
      <c r="B55" t="s">
        <v>302</v>
      </c>
    </row>
  </sheetData>
  <printOptions/>
  <pageMargins left="0.25" right="0.25" top="0.5" bottom="0.75" header="0.25" footer="0.5"/>
  <pageSetup horizontalDpi="600" verticalDpi="600" orientation="portrait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Karen Querin</cp:lastModifiedBy>
  <cp:lastPrinted>2007-09-07T23:49:24Z</cp:lastPrinted>
  <dcterms:created xsi:type="dcterms:W3CDTF">2007-04-06T23:17:01Z</dcterms:created>
  <dcterms:modified xsi:type="dcterms:W3CDTF">2007-09-07T23:49:26Z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