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<sst xmlns="http://schemas.openxmlformats.org/spreadsheetml/2006/main" count="114" uniqueCount="45">
  <si>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</si>
  <si>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</si>
  <si>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</si>
  <si>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</si>
  <si>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</si>
  <si>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</si>
  <si>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</si>
  <si>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</si>
  <si>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</si>
  <si>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</si>
  <si>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</si>
  <si>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TONS SS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</si>
  <si>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</si>
  <si>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</si>
  <si>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</si>
  <si>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</si>
  <si>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</si>
  <si>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</si>
  <si>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</si>
  <si>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</si>
  <si>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</si>
  <si>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Others=Scrap Plastics-All Metals- </t>
  </si>
  <si>
    <t xml:space="preserve">TONS </t>
  </si>
  <si>
    <t>9 Month</t>
  </si>
  <si>
    <t>Totals 2005</t>
  </si>
  <si>
    <t>EST WT/BALES OR BINS</t>
  </si>
  <si>
    <t xml:space="preserve">% </t>
  </si>
  <si>
    <t>TOTAL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</si>
  <si>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</si>
  <si>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</si>
  <si>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</si>
  <si>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</si>
  <si>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</si>
  <si>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 xml:space="preserve">4 YD BIN 3 </t>
  </si>
  <si>
    <t>SCRAP METAL HOPPER</t>
  </si>
  <si>
    <t xml:space="preserve">TRASH  -  BALED  </t>
  </si>
  <si>
    <t>ALL BALED TOTALS</t>
  </si>
  <si>
    <r>
      <t>METALS/PLASTICS/OTHER</t>
    </r>
    <r>
      <rPr>
        <b/>
        <sz val="16"/>
        <color indexed="12"/>
        <rFont val="Arial"/>
        <family val="2"/>
      </rPr>
      <t>**</t>
    </r>
  </si>
  <si>
    <t>Drip Hose-Vineyard Stakes, etc.)</t>
  </si>
  <si>
    <t>UPPER VALLEY DISPOSAL SERVICE</t>
  </si>
  <si>
    <t>SINGLE STREAM ( CURBSIDE )</t>
  </si>
  <si>
    <t>UVR BUYBACK -OIL-TIRES-etc</t>
  </si>
  <si>
    <t>**BASED ON MATERIAL SHIPPED</t>
  </si>
  <si>
    <t>SINGLE STREAM ( CURBSIDE ) BALE REPORT</t>
  </si>
  <si>
    <t>Residue Trash as % of 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</si>
</sst>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43" fontId="0" fillId="2" borderId="0" xfId="15" applyFont="1" applyFill="1" applyAlignment="1">
      <alignment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4" fillId="2" borderId="0" xfId="0" applyNumberFormat="1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43" fontId="7" fillId="2" borderId="1" xfId="15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43" fontId="9" fillId="2" borderId="1" xfId="15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7" fillId="2" borderId="0" xfId="0" applyNumberFormat="1" applyFont="1" applyFill="1" applyBorder="1" applyAlignment="1">
      <alignment horizontal="center"/>
    </xf>
    <xf numFmtId="43" fontId="0" fillId="2" borderId="0" xfId="15" applyFont="1" applyFill="1" applyAlignment="1">
      <alignment horizontal="center"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Local%20Settings\Temporary%20Internet%20Files\OLKAF\2005%20TONS%20OF%20CURBSIDE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Local%20Settings\Temporary%20Internet%20Files\OLKAF\05%20UPPER%20VALLEY%20RECYCLING%20PLANT%20DAILY%20REPORT%20%201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ustomer%20Service\Appy\2005%20TONS%20OF%20CURBSID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ustomer%20Service\Appy\05%20UPPER%20VALLEY%20RECYCLING%20PLANT%20DAILY%20REPORT%20%2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ustomer%20Service\Zorka\05%20GREEN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Zorka%20Lila\SALES%20AND%20SHIPPED%20COMOD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5"/>
      <sheetName val="FEB 05"/>
      <sheetName val="MARCH 05"/>
      <sheetName val="APRIL 05"/>
      <sheetName val="MAY 05"/>
      <sheetName val="June 05"/>
      <sheetName val="JULY 05"/>
      <sheetName val="AUG 05"/>
      <sheetName val="SEPT 05"/>
      <sheetName val="OCT 05"/>
      <sheetName val="NOV 05"/>
      <sheetName val="DEC 05"/>
      <sheetName val="2005 YR TOTAL"/>
    </sheetNames>
    <sheetDataSet>
      <sheetData sheetId="0">
        <row r="59">
          <cell r="AD59">
            <v>350.40999999999997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05"/>
      <sheetName val="Feb 05"/>
      <sheetName val="March 05"/>
      <sheetName val="April 05"/>
      <sheetName val="May 05"/>
      <sheetName val="June 05"/>
      <sheetName val="July 05"/>
      <sheetName val="Aug 05"/>
      <sheetName val="Sept 05"/>
      <sheetName val="Oct 05"/>
      <sheetName val="Nov 05"/>
      <sheetName val="Dec 05"/>
      <sheetName val="6 MO TOTAL TONS"/>
      <sheetName val="05 YR TOTALS"/>
    </sheetNames>
    <sheetDataSet>
      <sheetData sheetId="0">
        <row r="4">
          <cell r="AX4">
            <v>0.2674847101094867</v>
          </cell>
        </row>
        <row r="6">
          <cell r="AX6">
            <v>0.0029829208412224164</v>
          </cell>
        </row>
        <row r="8">
          <cell r="AX8">
            <v>0.14860369281726218</v>
          </cell>
        </row>
        <row r="10">
          <cell r="AX10">
            <v>0.15218707174989948</v>
          </cell>
        </row>
        <row r="12">
          <cell r="AX12">
            <v>0.03404209986005452</v>
          </cell>
        </row>
        <row r="14">
          <cell r="AX14">
            <v>0</v>
          </cell>
        </row>
        <row r="16">
          <cell r="AX16">
            <v>0.005423492438586211</v>
          </cell>
        </row>
        <row r="18">
          <cell r="AX18">
            <v>0.01801374274244706</v>
          </cell>
        </row>
        <row r="20">
          <cell r="AX20">
            <v>0.005462231670290398</v>
          </cell>
        </row>
        <row r="22">
          <cell r="AX22">
            <v>0.01437225496225346</v>
          </cell>
        </row>
        <row r="24">
          <cell r="AX24">
            <v>0.009442687727895636</v>
          </cell>
        </row>
        <row r="26">
          <cell r="AX26">
            <v>0.003777075091158254</v>
          </cell>
        </row>
        <row r="28">
          <cell r="AX28">
            <v>0.0024115171735856547</v>
          </cell>
        </row>
        <row r="31">
          <cell r="AX31">
            <v>0.1525357248352372</v>
          </cell>
        </row>
        <row r="32">
          <cell r="AX32">
            <v>0.05205584260250158</v>
          </cell>
        </row>
        <row r="33">
          <cell r="AX33">
            <v>0.0576246071599785</v>
          </cell>
        </row>
        <row r="35">
          <cell r="AX35">
            <v>0.006174065052854839</v>
          </cell>
        </row>
        <row r="37">
          <cell r="AX37">
            <v>0.06740626316528577</v>
          </cell>
        </row>
      </sheetData>
      <sheetData sheetId="1">
        <row r="4">
          <cell r="AV4">
            <v>0.2761144266061472</v>
          </cell>
        </row>
        <row r="6">
          <cell r="AV6">
            <v>0.0034518506065955006</v>
          </cell>
        </row>
        <row r="8">
          <cell r="AV8">
            <v>0.16443361071418566</v>
          </cell>
        </row>
        <row r="10">
          <cell r="AV10">
            <v>0.14070774144742373</v>
          </cell>
        </row>
        <row r="12">
          <cell r="AV12">
            <v>0.036199602140595664</v>
          </cell>
        </row>
        <row r="14">
          <cell r="AV14">
            <v>0</v>
          </cell>
        </row>
        <row r="16">
          <cell r="AV16">
            <v>0.005491580510492842</v>
          </cell>
        </row>
        <row r="18">
          <cell r="AV18">
            <v>0.012507354795326553</v>
          </cell>
        </row>
        <row r="20">
          <cell r="AV20">
            <v>0.006320921240648903</v>
          </cell>
        </row>
        <row r="22">
          <cell r="AV22">
            <v>0.018413605670897424</v>
          </cell>
        </row>
        <row r="24">
          <cell r="AV24">
            <v>0.005827799725420975</v>
          </cell>
        </row>
        <row r="26">
          <cell r="AV26">
            <v>0.005827799725420975</v>
          </cell>
        </row>
        <row r="28">
          <cell r="AV28">
            <v>0</v>
          </cell>
        </row>
        <row r="31">
          <cell r="AV31">
            <v>0.14709590653105825</v>
          </cell>
        </row>
        <row r="32">
          <cell r="AV32">
            <v>0.05323470903028775</v>
          </cell>
        </row>
        <row r="33">
          <cell r="AV33">
            <v>0.058838362612423305</v>
          </cell>
        </row>
        <row r="35">
          <cell r="AV35">
            <v>0.0054635622425821635</v>
          </cell>
        </row>
        <row r="37">
          <cell r="AV37">
            <v>0.06007116640049313</v>
          </cell>
        </row>
      </sheetData>
      <sheetData sheetId="2">
        <row r="4">
          <cell r="AZ4">
            <v>0.297254380321565</v>
          </cell>
        </row>
        <row r="6">
          <cell r="AZ6">
            <v>0.003169390459558678</v>
          </cell>
        </row>
        <row r="8">
          <cell r="AZ8">
            <v>0.1014066815241641</v>
          </cell>
        </row>
        <row r="10">
          <cell r="AZ10">
            <v>0.12447116821604522</v>
          </cell>
        </row>
        <row r="12">
          <cell r="AZ12">
            <v>0.03965882028962421</v>
          </cell>
        </row>
        <row r="14">
          <cell r="AZ14">
            <v>5.877949665353631E-07</v>
          </cell>
        </row>
        <row r="16">
          <cell r="AZ16">
            <v>0.013583353881665707</v>
          </cell>
        </row>
        <row r="18">
          <cell r="AZ18">
            <v>0.016404181926068913</v>
          </cell>
        </row>
        <row r="20">
          <cell r="AZ20">
            <v>0.00469912685996696</v>
          </cell>
        </row>
        <row r="22">
          <cell r="AZ22">
            <v>0.00997370499217204</v>
          </cell>
        </row>
        <row r="24">
          <cell r="AZ24">
            <v>0.0064980733550484395</v>
          </cell>
        </row>
        <row r="26">
          <cell r="AZ26">
            <v>0.003822430667379466</v>
          </cell>
        </row>
        <row r="28">
          <cell r="AZ28">
            <v>0.000488163719707619</v>
          </cell>
        </row>
        <row r="31">
          <cell r="AZ31">
            <v>0.1374261692784846</v>
          </cell>
        </row>
        <row r="32">
          <cell r="AZ32">
            <v>0.05144293377872517</v>
          </cell>
        </row>
        <row r="33">
          <cell r="AZ33">
            <v>0.12756972938213637</v>
          </cell>
        </row>
        <row r="35">
          <cell r="AZ35">
            <v>0.005955832498419566</v>
          </cell>
        </row>
        <row r="37">
          <cell r="AZ37">
            <v>0.05644683232884072</v>
          </cell>
        </row>
      </sheetData>
      <sheetData sheetId="3">
        <row r="4">
          <cell r="AY4">
            <v>0.30566916498698654</v>
          </cell>
        </row>
        <row r="6">
          <cell r="AY6">
            <v>0.003013639654801276</v>
          </cell>
        </row>
        <row r="8">
          <cell r="AY8">
            <v>0.08328604136905345</v>
          </cell>
        </row>
        <row r="10">
          <cell r="AY10">
            <v>0.1394884640222305</v>
          </cell>
        </row>
        <row r="12">
          <cell r="AY12">
            <v>0.03718126846832743</v>
          </cell>
        </row>
        <row r="14">
          <cell r="AY14">
            <v>0</v>
          </cell>
        </row>
        <row r="16">
          <cell r="AY16">
            <v>0</v>
          </cell>
        </row>
        <row r="18">
          <cell r="AY18">
            <v>0.01091955147648774</v>
          </cell>
        </row>
        <row r="20">
          <cell r="AY20">
            <v>0.0018394943347488308</v>
          </cell>
        </row>
        <row r="22">
          <cell r="AY22">
            <v>0.01244594039255592</v>
          </cell>
        </row>
        <row r="24">
          <cell r="AY24">
            <v>0.002543981526780298</v>
          </cell>
        </row>
        <row r="26">
          <cell r="AY26">
            <v>0.002543981526780298</v>
          </cell>
        </row>
        <row r="28">
          <cell r="AY28">
            <v>0</v>
          </cell>
        </row>
        <row r="31">
          <cell r="AY31">
            <v>0.1271990763390149</v>
          </cell>
        </row>
        <row r="32">
          <cell r="AY32">
            <v>0.03913817733508151</v>
          </cell>
        </row>
        <row r="33">
          <cell r="AY33">
            <v>0.17122952584098158</v>
          </cell>
        </row>
        <row r="35">
          <cell r="AY35">
            <v>0.027885951351245573</v>
          </cell>
        </row>
        <row r="37">
          <cell r="AY37">
            <v>0.053</v>
          </cell>
        </row>
      </sheetData>
      <sheetData sheetId="4">
        <row r="4">
          <cell r="AX4">
            <v>0.3527441300270367</v>
          </cell>
        </row>
        <row r="6">
          <cell r="AX6">
            <v>0.0019320883491308737</v>
          </cell>
        </row>
        <row r="8">
          <cell r="AX8">
            <v>0.09976601657330329</v>
          </cell>
        </row>
        <row r="10">
          <cell r="AX10">
            <v>0.13549710500398335</v>
          </cell>
        </row>
        <row r="12">
          <cell r="AX12">
            <v>0.029796817072635227</v>
          </cell>
        </row>
        <row r="14">
          <cell r="AX14">
            <v>0</v>
          </cell>
        </row>
        <row r="16">
          <cell r="AX16">
            <v>0.0087822197687767</v>
          </cell>
        </row>
        <row r="18">
          <cell r="AX18">
            <v>0.01983527064919423</v>
          </cell>
        </row>
        <row r="20">
          <cell r="AX20">
            <v>0.005306969945989348</v>
          </cell>
        </row>
        <row r="22">
          <cell r="AX22">
            <v>0.014628668929133759</v>
          </cell>
        </row>
        <row r="24">
          <cell r="AX24">
            <v>0.010601393863737586</v>
          </cell>
        </row>
        <row r="26">
          <cell r="AX26">
            <v>0.004892951014032732</v>
          </cell>
        </row>
        <row r="28">
          <cell r="AX28">
            <v>0</v>
          </cell>
        </row>
        <row r="31">
          <cell r="AX31">
            <v>0.1630983671344244</v>
          </cell>
        </row>
        <row r="32">
          <cell r="AX32">
            <v>0.059593634145270455</v>
          </cell>
        </row>
        <row r="33">
          <cell r="AX33">
            <v>0.14490662618481553</v>
          </cell>
        </row>
        <row r="35">
          <cell r="AX35">
            <v>0.006116188767540915</v>
          </cell>
        </row>
        <row r="37">
          <cell r="AX37">
            <v>0.06624302911305853</v>
          </cell>
        </row>
      </sheetData>
      <sheetData sheetId="5">
        <row r="4">
          <cell r="AX4">
            <v>0.3071390999945585</v>
          </cell>
        </row>
        <row r="6">
          <cell r="AX6">
            <v>0.004189868137050404</v>
          </cell>
        </row>
        <row r="8">
          <cell r="AX8">
            <v>0.1310286035586672</v>
          </cell>
        </row>
        <row r="10">
          <cell r="AX10">
            <v>0.13124625904630616</v>
          </cell>
        </row>
        <row r="12">
          <cell r="AX12">
            <v>0.030154354016650637</v>
          </cell>
        </row>
        <row r="14">
          <cell r="AX14">
            <v>0.001768450837066729</v>
          </cell>
        </row>
        <row r="16">
          <cell r="AX16">
            <v>0.01015725608981916</v>
          </cell>
        </row>
        <row r="18">
          <cell r="AX18">
            <v>0.009277565160611609</v>
          </cell>
        </row>
        <row r="20">
          <cell r="AX20">
            <v>0.008524839932526796</v>
          </cell>
        </row>
        <row r="22">
          <cell r="AX22">
            <v>0.018264923004371242</v>
          </cell>
        </row>
        <row r="24">
          <cell r="AX24">
            <v>0.009431737797689223</v>
          </cell>
        </row>
        <row r="26">
          <cell r="AX26">
            <v>0.004715868898844611</v>
          </cell>
        </row>
        <row r="28">
          <cell r="AX28">
            <v>0</v>
          </cell>
        </row>
        <row r="31">
          <cell r="AX31">
            <v>0.14510365842598802</v>
          </cell>
        </row>
        <row r="32">
          <cell r="AX32">
            <v>0.048745760252480355</v>
          </cell>
        </row>
        <row r="33">
          <cell r="AX33">
            <v>0.07459234940960947</v>
          </cell>
        </row>
        <row r="35">
          <cell r="AX35">
            <v>0.005441387190974551</v>
          </cell>
        </row>
        <row r="37">
          <cell r="AX37">
            <v>0.060218018246785035</v>
          </cell>
        </row>
      </sheetData>
      <sheetData sheetId="6">
        <row r="4">
          <cell r="AW4">
            <v>0.33585969901647117</v>
          </cell>
        </row>
        <row r="6">
          <cell r="AW6">
            <v>0.003649721530987084</v>
          </cell>
        </row>
        <row r="8">
          <cell r="AW8">
            <v>0.12209977485484064</v>
          </cell>
        </row>
        <row r="10">
          <cell r="AW10">
            <v>0.103746889441877</v>
          </cell>
        </row>
        <row r="12">
          <cell r="AW12">
            <v>0.030619741675553973</v>
          </cell>
        </row>
        <row r="14">
          <cell r="AW14">
            <v>0.0006161867519848324</v>
          </cell>
        </row>
        <row r="16">
          <cell r="AW16">
            <v>0.00796302879488091</v>
          </cell>
        </row>
        <row r="18">
          <cell r="AW18">
            <v>0.014987557767507998</v>
          </cell>
        </row>
        <row r="20">
          <cell r="AW20">
            <v>0.006237705889323379</v>
          </cell>
        </row>
        <row r="22">
          <cell r="AW22">
            <v>0.01758502192202868</v>
          </cell>
        </row>
        <row r="24">
          <cell r="AW24">
            <v>0.009242801279772485</v>
          </cell>
        </row>
        <row r="26">
          <cell r="AW26">
            <v>0.004313307263893826</v>
          </cell>
        </row>
        <row r="28">
          <cell r="AW28">
            <v>0.000786823083303709</v>
          </cell>
        </row>
        <row r="31">
          <cell r="AW31">
            <v>0.13982699371963503</v>
          </cell>
        </row>
        <row r="32">
          <cell r="AW32">
            <v>0.05095390449105344</v>
          </cell>
        </row>
        <row r="33">
          <cell r="AW33">
            <v>0.058063751629339966</v>
          </cell>
        </row>
        <row r="35">
          <cell r="AW35">
            <v>0.003199431212228937</v>
          </cell>
        </row>
        <row r="37">
          <cell r="AW37">
            <v>0.09024765967531698</v>
          </cell>
        </row>
      </sheetData>
      <sheetData sheetId="7">
        <row r="4">
          <cell r="AY4">
            <v>0.3270450364387021</v>
          </cell>
        </row>
        <row r="6">
          <cell r="AY6">
            <v>0.004369806716449673</v>
          </cell>
        </row>
        <row r="8">
          <cell r="AY8">
            <v>0.02542432998661628</v>
          </cell>
        </row>
        <row r="10">
          <cell r="AY10">
            <v>0.17706229812107765</v>
          </cell>
        </row>
        <row r="12">
          <cell r="AY12">
            <v>0.0017971066582801686</v>
          </cell>
        </row>
        <row r="14">
          <cell r="AY14">
            <v>0.0036887978775224516</v>
          </cell>
        </row>
        <row r="16">
          <cell r="AY16">
            <v>0.008607195047552387</v>
          </cell>
        </row>
        <row r="18">
          <cell r="AY18">
            <v>0.012314909837267261</v>
          </cell>
        </row>
        <row r="20">
          <cell r="AY20">
            <v>0.0075573064208729205</v>
          </cell>
        </row>
        <row r="22">
          <cell r="AY22">
            <v>0.019550628750868996</v>
          </cell>
        </row>
        <row r="24">
          <cell r="AY24">
            <v>0.00922199469380613</v>
          </cell>
        </row>
        <row r="26">
          <cell r="AY26">
            <v>0.005533196816283677</v>
          </cell>
        </row>
        <row r="28">
          <cell r="AY28">
            <v>0.0007850518559855474</v>
          </cell>
        </row>
        <row r="31">
          <cell r="AY31">
            <v>0.1536999115634355</v>
          </cell>
        </row>
        <row r="32">
          <cell r="AY32">
            <v>0.049656894505109926</v>
          </cell>
        </row>
        <row r="35">
          <cell r="AY35">
            <v>0.005320381554118921</v>
          </cell>
        </row>
        <row r="37">
          <cell r="AY37">
            <v>0.0741542957942975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5"/>
      <sheetName val="FEB 05"/>
      <sheetName val="MARCH 05"/>
      <sheetName val="APRIL 05"/>
      <sheetName val="MAY 05"/>
      <sheetName val="June 05"/>
      <sheetName val="JULY 05"/>
      <sheetName val="AUG 05"/>
      <sheetName val="SEPT 05"/>
      <sheetName val="OCT 05"/>
      <sheetName val="NOV 05"/>
      <sheetName val="DEC 05"/>
      <sheetName val="2005 YR TOTAL"/>
    </sheetNames>
    <sheetDataSet>
      <sheetData sheetId="8">
        <row r="84">
          <cell r="AD84">
            <v>322.6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 05"/>
      <sheetName val="Feb 05"/>
      <sheetName val="March 05"/>
      <sheetName val="April 05"/>
      <sheetName val="May 05"/>
      <sheetName val="June 05"/>
      <sheetName val="July 05"/>
      <sheetName val="Aug 05"/>
      <sheetName val="Sept 05"/>
      <sheetName val="Oct 05"/>
      <sheetName val="Nov 05"/>
      <sheetName val="Dec 05"/>
      <sheetName val="6 MO TOTAL TONS"/>
      <sheetName val="05 YR TOTALS"/>
    </sheetNames>
    <sheetDataSet>
      <sheetData sheetId="8">
        <row r="4">
          <cell r="AW4">
            <v>0.3757384561457505</v>
          </cell>
        </row>
        <row r="6">
          <cell r="AW6">
            <v>0.004608137337881625</v>
          </cell>
        </row>
        <row r="8">
          <cell r="AW8">
            <v>0.03351372609368455</v>
          </cell>
        </row>
        <row r="10">
          <cell r="AW10">
            <v>0.17728077149965374</v>
          </cell>
        </row>
        <row r="12">
          <cell r="AW12">
            <v>0</v>
          </cell>
        </row>
        <row r="14">
          <cell r="AW14">
            <v>0.0022228491796831584</v>
          </cell>
        </row>
        <row r="16">
          <cell r="AW16">
            <v>0.00538613455077073</v>
          </cell>
        </row>
        <row r="18">
          <cell r="AW18">
            <v>0.01192644079099233</v>
          </cell>
        </row>
        <row r="20">
          <cell r="AW20">
            <v>0.004821872835928082</v>
          </cell>
        </row>
        <row r="22">
          <cell r="AW22">
            <v>0.01721853172262262</v>
          </cell>
        </row>
        <row r="24">
          <cell r="AW24">
            <v>0.006668547539049475</v>
          </cell>
        </row>
        <row r="26">
          <cell r="AW26">
            <v>0.003889986064445527</v>
          </cell>
        </row>
        <row r="28">
          <cell r="AW28">
            <v>0</v>
          </cell>
        </row>
        <row r="31">
          <cell r="AW31">
            <v>0.1367907187497328</v>
          </cell>
        </row>
        <row r="32">
          <cell r="AW32">
            <v>0.03954106713859464</v>
          </cell>
        </row>
        <row r="33">
          <cell r="AW33">
            <v>0.10622654252908939</v>
          </cell>
        </row>
        <row r="35">
          <cell r="AW35">
            <v>0.11538461538461539</v>
          </cell>
        </row>
        <row r="37">
          <cell r="AW37">
            <v>0.0683953593748664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UVR"/>
      <sheetName val="CS"/>
      <sheetName val="SLR"/>
      <sheetName val="WILLITS"/>
      <sheetName val="WILLITS 2"/>
    </sheetNames>
    <sheetDataSet>
      <sheetData sheetId="0">
        <row r="5">
          <cell r="T5">
            <v>439.49</v>
          </cell>
        </row>
        <row r="32">
          <cell r="D32">
            <v>157.5</v>
          </cell>
          <cell r="F32">
            <v>131.25</v>
          </cell>
          <cell r="H32">
            <v>233.7995</v>
          </cell>
          <cell r="J32">
            <v>108.75</v>
          </cell>
          <cell r="L32">
            <v>130</v>
          </cell>
          <cell r="N32">
            <v>160</v>
          </cell>
          <cell r="P32">
            <v>147.5</v>
          </cell>
          <cell r="R32">
            <v>162.5</v>
          </cell>
          <cell r="T32">
            <v>160</v>
          </cell>
        </row>
        <row r="33">
          <cell r="D33">
            <v>53.75</v>
          </cell>
          <cell r="F33">
            <v>47.5</v>
          </cell>
          <cell r="H33">
            <v>87.5185</v>
          </cell>
          <cell r="J33">
            <v>37.5</v>
          </cell>
          <cell r="L33">
            <v>47.5</v>
          </cell>
          <cell r="N33">
            <v>53.75</v>
          </cell>
          <cell r="P33">
            <v>53.75</v>
          </cell>
          <cell r="R33">
            <v>52.5</v>
          </cell>
          <cell r="T33">
            <v>46.25</v>
          </cell>
        </row>
        <row r="34">
          <cell r="D34">
            <v>59.5</v>
          </cell>
          <cell r="F34">
            <v>52.5</v>
          </cell>
          <cell r="H34">
            <v>217.031</v>
          </cell>
          <cell r="J34">
            <v>98</v>
          </cell>
          <cell r="L34">
            <v>115.5</v>
          </cell>
          <cell r="N34">
            <v>82.25</v>
          </cell>
          <cell r="P34">
            <v>61.25</v>
          </cell>
          <cell r="R34">
            <v>120.75</v>
          </cell>
          <cell r="T34">
            <v>124.25</v>
          </cell>
        </row>
      </sheetData>
      <sheetData sheetId="1">
        <row r="5">
          <cell r="D5">
            <v>68.66733735575693</v>
          </cell>
          <cell r="F5">
            <v>51.95336384745749</v>
          </cell>
          <cell r="H5">
            <v>280.9230278730788</v>
          </cell>
          <cell r="J5">
            <v>24.997124126729418</v>
          </cell>
          <cell r="L5">
            <v>25.074816482971926</v>
          </cell>
          <cell r="N5">
            <v>98.51793771425471</v>
          </cell>
          <cell r="P5">
            <v>93.62257039933641</v>
          </cell>
          <cell r="R5">
            <v>122.9934620786849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CRT UVR"/>
      <sheetName val="CRA GLASS"/>
      <sheetName val="CUSTOM ALLOY INDUSTRIAL"/>
      <sheetName val="E-RECYCLING"/>
      <sheetName val="MISC"/>
      <sheetName val="NORTHERN PAPER"/>
      <sheetName val="NORTHERN PAPER SLR"/>
      <sheetName val="RECYCLE ZONE"/>
      <sheetName val="S&amp;P RECYCLE"/>
      <sheetName val="SMURFIT"/>
      <sheetName val="STRATEGIC "/>
      <sheetName val="SCHNITZER STEEL"/>
      <sheetName val="STANDARD IRON"/>
      <sheetName val="TALCO"/>
      <sheetName val="TAS EXPRESS"/>
      <sheetName val="TREX"/>
      <sheetName val="WASTE RECOVERY WEST"/>
      <sheetName val="WOODLAND POWER"/>
    </sheetNames>
    <sheetDataSet>
      <sheetData sheetId="2">
        <row r="8">
          <cell r="C8">
            <v>22.08</v>
          </cell>
        </row>
        <row r="10">
          <cell r="C10">
            <v>20.13</v>
          </cell>
        </row>
        <row r="14">
          <cell r="C14">
            <v>63.45</v>
          </cell>
        </row>
        <row r="16">
          <cell r="C16">
            <v>20.56</v>
          </cell>
        </row>
      </sheetData>
      <sheetData sheetId="5">
        <row r="7">
          <cell r="C7">
            <v>65.56</v>
          </cell>
        </row>
        <row r="10">
          <cell r="C10">
            <v>39.61</v>
          </cell>
        </row>
        <row r="12">
          <cell r="C12">
            <v>21.46</v>
          </cell>
        </row>
        <row r="14">
          <cell r="C14">
            <v>20.27</v>
          </cell>
        </row>
      </sheetData>
      <sheetData sheetId="9">
        <row r="28">
          <cell r="C28">
            <v>403.985</v>
          </cell>
        </row>
        <row r="51">
          <cell r="C51">
            <v>275.94</v>
          </cell>
        </row>
        <row r="63">
          <cell r="C63">
            <v>154.265</v>
          </cell>
        </row>
        <row r="75">
          <cell r="C75">
            <v>146.316</v>
          </cell>
        </row>
        <row r="86">
          <cell r="C86">
            <v>148.22</v>
          </cell>
        </row>
        <row r="88">
          <cell r="C88">
            <v>19.86</v>
          </cell>
        </row>
        <row r="92">
          <cell r="C92">
            <v>38.425</v>
          </cell>
        </row>
        <row r="94">
          <cell r="C94">
            <v>19.36</v>
          </cell>
        </row>
      </sheetData>
      <sheetData sheetId="14">
        <row r="8">
          <cell r="C8">
            <v>45.43</v>
          </cell>
        </row>
        <row r="12">
          <cell r="C12">
            <v>62.265</v>
          </cell>
        </row>
        <row r="15">
          <cell r="C15">
            <v>136.1088475</v>
          </cell>
        </row>
        <row r="17">
          <cell r="C17">
            <v>21.92</v>
          </cell>
        </row>
        <row r="20">
          <cell r="C20">
            <v>36.5275</v>
          </cell>
        </row>
        <row r="22">
          <cell r="C22">
            <v>57.82576375</v>
          </cell>
        </row>
      </sheetData>
      <sheetData sheetId="20">
        <row r="8">
          <cell r="C8">
            <v>22.36</v>
          </cell>
        </row>
      </sheetData>
      <sheetData sheetId="22">
        <row r="7">
          <cell r="C7">
            <v>22.44</v>
          </cell>
        </row>
        <row r="10">
          <cell r="C10">
            <v>20.74</v>
          </cell>
        </row>
        <row r="12">
          <cell r="C12">
            <v>21.39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view="pageBreakPreview" zoomScaleSheetLayoutView="100" workbookViewId="0" topLeftCell="A1">
      <selection activeCell="C49" sqref="C49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bestFit="1" customWidth="1"/>
    <col min="5" max="5" width="8.57421875" style="0" customWidth="1"/>
    <col min="6" max="6" width="9.28125" style="0" bestFit="1" customWidth="1"/>
    <col min="7" max="7" width="9.8515625" style="0" bestFit="1" customWidth="1"/>
    <col min="8" max="8" width="9.28125" style="0" bestFit="1" customWidth="1"/>
    <col min="9" max="10" width="9.421875" style="0" bestFit="1" customWidth="1"/>
    <col min="13" max="13" width="9.28125" style="0" bestFit="1" customWidth="1"/>
    <col min="14" max="14" width="10.140625" style="0" bestFit="1" customWidth="1"/>
    <col min="15" max="15" width="9.28125" style="0" customWidth="1"/>
    <col min="17" max="17" width="29.7109375" style="0" customWidth="1"/>
    <col min="18" max="18" width="10.8515625" style="0" bestFit="1" customWidth="1"/>
    <col min="19" max="19" width="9.7109375" style="0" bestFit="1" customWidth="1"/>
    <col min="20" max="20" width="10.421875" style="0" bestFit="1" customWidth="1"/>
    <col min="21" max="21" width="9.7109375" style="0" bestFit="1" customWidth="1"/>
    <col min="24" max="30" width="9.140625" style="0" hidden="1" customWidth="1"/>
    <col min="31" max="31" width="11.421875" style="0" customWidth="1"/>
  </cols>
  <sheetData>
    <row r="1" spans="1:31" s="38" customFormat="1" ht="15.75">
      <c r="A1" s="59" t="s">
        <v>39</v>
      </c>
      <c r="B1" s="59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59" t="s">
        <v>39</v>
      </c>
      <c r="Q1" s="59"/>
      <c r="R1" s="1"/>
      <c r="S1" s="3"/>
      <c r="T1" s="1"/>
      <c r="U1" s="3"/>
      <c r="V1" s="1"/>
      <c r="W1" s="3"/>
      <c r="X1" s="39"/>
      <c r="Y1" s="1"/>
      <c r="Z1" s="3"/>
      <c r="AA1" s="1"/>
      <c r="AB1" s="3"/>
      <c r="AC1" s="1"/>
      <c r="AD1" s="3"/>
      <c r="AE1" s="1"/>
    </row>
    <row r="2" spans="1:31" s="38" customFormat="1" ht="15.75">
      <c r="A2" s="59" t="s">
        <v>43</v>
      </c>
      <c r="B2" s="59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59" t="s">
        <v>40</v>
      </c>
      <c r="Q2" s="59"/>
      <c r="R2" s="7"/>
      <c r="S2" s="8"/>
      <c r="T2" s="7"/>
      <c r="U2" s="8"/>
      <c r="V2" s="7"/>
      <c r="W2" s="8"/>
      <c r="X2" s="40"/>
      <c r="Y2" s="7"/>
      <c r="Z2" s="8"/>
      <c r="AA2" s="7"/>
      <c r="AB2" s="8"/>
      <c r="AC2" s="7"/>
      <c r="AD2" s="8"/>
      <c r="AE2" s="7"/>
    </row>
    <row r="3" spans="1:31" s="38" customFormat="1" ht="12.75">
      <c r="A3" s="9"/>
      <c r="B3" s="10"/>
      <c r="C3" s="11"/>
      <c r="D3" s="12">
        <v>38356</v>
      </c>
      <c r="E3" s="12">
        <v>38357</v>
      </c>
      <c r="F3" s="12">
        <v>38387</v>
      </c>
      <c r="G3" s="12">
        <v>38388</v>
      </c>
      <c r="H3" s="12">
        <v>38415</v>
      </c>
      <c r="I3" s="12">
        <v>38416</v>
      </c>
      <c r="J3" s="12">
        <v>38446</v>
      </c>
      <c r="K3" s="12">
        <v>38447</v>
      </c>
      <c r="L3" s="12">
        <v>38476</v>
      </c>
      <c r="M3" s="12">
        <v>38477</v>
      </c>
      <c r="N3" s="12">
        <v>38506</v>
      </c>
      <c r="O3" s="12">
        <v>38507</v>
      </c>
      <c r="P3" s="9"/>
      <c r="Q3" s="10"/>
      <c r="R3" s="12">
        <v>38537</v>
      </c>
      <c r="S3" s="12">
        <v>38538</v>
      </c>
      <c r="T3" s="12">
        <v>38568</v>
      </c>
      <c r="U3" s="12">
        <v>38569</v>
      </c>
      <c r="V3" s="12">
        <v>38599</v>
      </c>
      <c r="W3" s="12">
        <v>38600</v>
      </c>
      <c r="X3" s="41" t="s">
        <v>23</v>
      </c>
      <c r="Y3" s="12">
        <v>38629</v>
      </c>
      <c r="Z3" s="12">
        <v>38630</v>
      </c>
      <c r="AA3" s="12">
        <v>38660</v>
      </c>
      <c r="AB3" s="12">
        <v>38661</v>
      </c>
      <c r="AC3" s="12">
        <v>38690</v>
      </c>
      <c r="AD3" s="12">
        <v>38691</v>
      </c>
      <c r="AE3" s="12" t="s">
        <v>24</v>
      </c>
    </row>
    <row r="4" spans="1:31" s="38" customFormat="1" ht="33.75">
      <c r="A4" s="13"/>
      <c r="B4" s="5" t="s">
        <v>0</v>
      </c>
      <c r="C4" s="42" t="s">
        <v>25</v>
      </c>
      <c r="D4" s="14" t="s">
        <v>22</v>
      </c>
      <c r="E4" s="14" t="s">
        <v>26</v>
      </c>
      <c r="F4" s="14" t="s">
        <v>22</v>
      </c>
      <c r="G4" s="15" t="s">
        <v>26</v>
      </c>
      <c r="H4" s="14" t="s">
        <v>22</v>
      </c>
      <c r="I4" s="15" t="s">
        <v>26</v>
      </c>
      <c r="J4" s="14" t="s">
        <v>22</v>
      </c>
      <c r="K4" s="15" t="s">
        <v>26</v>
      </c>
      <c r="L4" s="14" t="s">
        <v>22</v>
      </c>
      <c r="M4" s="15" t="s">
        <v>26</v>
      </c>
      <c r="N4" s="14" t="s">
        <v>22</v>
      </c>
      <c r="O4" s="15" t="s">
        <v>26</v>
      </c>
      <c r="P4" s="13"/>
      <c r="Q4" s="5" t="s">
        <v>0</v>
      </c>
      <c r="R4" s="14" t="s">
        <v>22</v>
      </c>
      <c r="S4" s="15" t="s">
        <v>26</v>
      </c>
      <c r="T4" s="14" t="s">
        <v>22</v>
      </c>
      <c r="U4" s="15" t="s">
        <v>26</v>
      </c>
      <c r="V4" s="14" t="s">
        <v>22</v>
      </c>
      <c r="W4" s="15" t="s">
        <v>26</v>
      </c>
      <c r="X4" s="40" t="s">
        <v>27</v>
      </c>
      <c r="Y4" s="14" t="s">
        <v>11</v>
      </c>
      <c r="Z4" s="15" t="s">
        <v>26</v>
      </c>
      <c r="AA4" s="14" t="s">
        <v>11</v>
      </c>
      <c r="AB4" s="15" t="s">
        <v>26</v>
      </c>
      <c r="AC4" s="14" t="s">
        <v>11</v>
      </c>
      <c r="AD4" s="15" t="s">
        <v>26</v>
      </c>
      <c r="AE4" s="14" t="s">
        <v>28</v>
      </c>
    </row>
    <row r="5" spans="1:31" s="38" customFormat="1" ht="12.75" customHeight="1">
      <c r="A5" s="13">
        <v>1</v>
      </c>
      <c r="B5" s="5" t="s">
        <v>29</v>
      </c>
      <c r="C5" s="16">
        <v>1420</v>
      </c>
      <c r="D5" s="17">
        <f>'[1]JAN 05'!$AD$59*'[2]Jan 05'!$AX$4</f>
        <v>93.72931726946523</v>
      </c>
      <c r="E5" s="18">
        <f>SUM(D5/D38)</f>
        <v>0.2868180425673325</v>
      </c>
      <c r="F5" s="17">
        <f>305.96*'[2]Feb 05'!$AV$4</f>
        <v>84.4799699644168</v>
      </c>
      <c r="G5" s="18">
        <f>SUM(F5/F38)</f>
        <v>0.293760992041017</v>
      </c>
      <c r="H5" s="17">
        <f>375.75*'[2]March 05'!$AZ$4</f>
        <v>111.69333340582804</v>
      </c>
      <c r="I5" s="18">
        <f>SUM(H5/H38)</f>
        <v>0.31494659040520545</v>
      </c>
      <c r="J5" s="17">
        <f>336.92*'[2]April 05'!$AY$4</f>
        <v>102.9860550674155</v>
      </c>
      <c r="K5" s="18">
        <f>SUM(J5/J38)</f>
        <v>0.31695785393965215</v>
      </c>
      <c r="L5" s="17">
        <f>350.79*'[2]May 05'!$AX$4</f>
        <v>123.7391133721842</v>
      </c>
      <c r="M5" s="18">
        <f>SUM(L5/L38)</f>
        <v>0.3335646788745929</v>
      </c>
      <c r="N5" s="17">
        <f>418.62*'[2]June 05'!$AX$4</f>
        <v>128.5745700397221</v>
      </c>
      <c r="O5" s="18">
        <f>SUM(N5/N38)</f>
        <v>0.32681952405766895</v>
      </c>
      <c r="P5" s="13">
        <v>1</v>
      </c>
      <c r="Q5" s="5" t="s">
        <v>29</v>
      </c>
      <c r="R5" s="17">
        <f>329.76*'[2]July 05'!$AW$4</f>
        <v>110.75309434767154</v>
      </c>
      <c r="S5" s="18">
        <f>SUM(R5/R38)</f>
        <v>0.36917706515226506</v>
      </c>
      <c r="T5" s="17">
        <f>350.54*'[2]Aug 05'!$AY$4</f>
        <v>114.64236707322263</v>
      </c>
      <c r="U5" s="18">
        <f>SUM(T5/T38)</f>
        <v>0.3610664043514348</v>
      </c>
      <c r="V5" s="17">
        <f>'[3]SEPT 05'!$AD$84*'[4]Sept 05'!$AW$4</f>
        <v>121.21322595261913</v>
      </c>
      <c r="W5" s="18">
        <f>SUM(V5/V38)</f>
        <v>0.3608642116057102</v>
      </c>
      <c r="X5" s="43"/>
      <c r="Y5" s="17"/>
      <c r="Z5" s="18"/>
      <c r="AA5" s="17"/>
      <c r="AB5" s="18"/>
      <c r="AC5" s="17"/>
      <c r="AD5" s="18"/>
      <c r="AE5" s="17">
        <f>SUM(D5+F5+H5+J5+L5+N5+R5+T5+V5)</f>
        <v>991.8110464925453</v>
      </c>
    </row>
    <row r="6" spans="1:31" s="38" customFormat="1" ht="12.75">
      <c r="A6" s="13"/>
      <c r="B6" s="5"/>
      <c r="C6" s="16"/>
      <c r="D6" s="17"/>
      <c r="E6" s="18"/>
      <c r="F6" s="17"/>
      <c r="G6" s="18"/>
      <c r="H6" s="17"/>
      <c r="I6" s="18"/>
      <c r="J6" s="17"/>
      <c r="K6" s="44"/>
      <c r="L6" s="17"/>
      <c r="M6" s="18"/>
      <c r="N6" s="17"/>
      <c r="O6" s="18"/>
      <c r="P6" s="13"/>
      <c r="Q6" s="5"/>
      <c r="R6" s="17"/>
      <c r="S6" s="18"/>
      <c r="T6" s="17"/>
      <c r="U6" s="18"/>
      <c r="V6" s="17"/>
      <c r="W6" s="18"/>
      <c r="X6" s="45"/>
      <c r="Y6" s="17"/>
      <c r="Z6" s="19"/>
      <c r="AA6" s="17"/>
      <c r="AB6" s="19"/>
      <c r="AC6" s="17"/>
      <c r="AD6" s="19"/>
      <c r="AE6" s="17"/>
    </row>
    <row r="7" spans="1:31" s="38" customFormat="1" ht="12.75">
      <c r="A7" s="13">
        <v>2</v>
      </c>
      <c r="B7" s="5" t="s">
        <v>30</v>
      </c>
      <c r="C7" s="16">
        <v>1540</v>
      </c>
      <c r="D7" s="17">
        <f>'[1]JAN 05'!$AD$59*'[2]Jan 05'!$AX$6</f>
        <v>1.0452452919727468</v>
      </c>
      <c r="E7" s="18">
        <f>SUM(D7/D38)</f>
        <v>0.003198521203183983</v>
      </c>
      <c r="F7" s="17">
        <f>305.96*'[2]Feb 05'!$AV$6</f>
        <v>1.0561282115939592</v>
      </c>
      <c r="G7" s="18">
        <f>(F7/F38)</f>
        <v>0.0036724595343845937</v>
      </c>
      <c r="H7" s="17">
        <f>375.75*'[2]March 05'!$AZ$6</f>
        <v>1.1908984651791732</v>
      </c>
      <c r="I7" s="18">
        <f>SUM(H7/H38)</f>
        <v>0.0033580286279413893</v>
      </c>
      <c r="J7" s="17">
        <f>336.92*'[2]April 05'!$AY$6</f>
        <v>1.015355472495646</v>
      </c>
      <c r="K7" s="18">
        <f>SUM(J7/J38)</f>
        <v>0.003124936588137416</v>
      </c>
      <c r="L7" s="17">
        <f>350.79*'[2]May 05'!$AX$6</f>
        <v>0.6777572719916193</v>
      </c>
      <c r="M7" s="18">
        <f>SUM(L7/L38)</f>
        <v>0.0018270365822552037</v>
      </c>
      <c r="N7" s="17">
        <f>418.62*'[2]June 05'!$AX$6</f>
        <v>1.7539625995320403</v>
      </c>
      <c r="O7" s="18">
        <f>SUM(N7/N38)</f>
        <v>0.004458340570899196</v>
      </c>
      <c r="P7" s="13">
        <v>2</v>
      </c>
      <c r="Q7" s="5" t="s">
        <v>30</v>
      </c>
      <c r="R7" s="17">
        <f>329.76*'[2]July 05'!$AW$6</f>
        <v>1.2035321720583008</v>
      </c>
      <c r="S7" s="18">
        <f>SUM(R7/R38)</f>
        <v>0.004011774819600385</v>
      </c>
      <c r="T7" s="17">
        <f>350.54*'[2]Aug 05'!$AY$6</f>
        <v>1.5317920463842687</v>
      </c>
      <c r="U7" s="18">
        <f>(T7/T38)</f>
        <v>0.004824382647724293</v>
      </c>
      <c r="V7" s="17">
        <f>'[3]SEPT 05'!$AD$84*'[4]Sept 05'!$AW$6</f>
        <v>1.4865851052006123</v>
      </c>
      <c r="W7" s="18">
        <f>(V7/V38)</f>
        <v>0.00442571639981519</v>
      </c>
      <c r="X7" s="45"/>
      <c r="Y7" s="17"/>
      <c r="Z7" s="19"/>
      <c r="AA7" s="17"/>
      <c r="AB7" s="19"/>
      <c r="AC7" s="17"/>
      <c r="AD7" s="19"/>
      <c r="AE7" s="17">
        <f aca="true" t="shared" si="0" ref="AE7:AE38">SUM(D7+F7+H7+J7+L7+N7+R7+T7+V7)</f>
        <v>10.961256636408367</v>
      </c>
    </row>
    <row r="8" spans="1:31" s="38" customFormat="1" ht="12.75">
      <c r="A8" s="13"/>
      <c r="B8" s="5"/>
      <c r="C8" s="16"/>
      <c r="D8" s="17"/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  <c r="P8" s="13"/>
      <c r="Q8" s="5"/>
      <c r="R8" s="17"/>
      <c r="S8" s="18"/>
      <c r="T8" s="17"/>
      <c r="U8" s="18"/>
      <c r="V8" s="17"/>
      <c r="W8" s="18"/>
      <c r="X8" s="45"/>
      <c r="Y8" s="17"/>
      <c r="Z8" s="19"/>
      <c r="AA8" s="17"/>
      <c r="AB8" s="19"/>
      <c r="AC8" s="17"/>
      <c r="AD8" s="19"/>
      <c r="AE8" s="17"/>
    </row>
    <row r="9" spans="1:31" s="38" customFormat="1" ht="12.75">
      <c r="A9" s="13">
        <v>3</v>
      </c>
      <c r="B9" s="5" t="s">
        <v>19</v>
      </c>
      <c r="C9" s="16">
        <v>2240</v>
      </c>
      <c r="D9" s="17">
        <f>'[1]JAN 05'!$AD$59*'[2]Jan 05'!$AX$8</f>
        <v>52.072220000096834</v>
      </c>
      <c r="E9" s="18">
        <f>SUM(D9/D38)</f>
        <v>0.1593445108495293</v>
      </c>
      <c r="F9" s="17">
        <f>305.96*'[2]Feb 05'!$AV$8</f>
        <v>50.31010753411224</v>
      </c>
      <c r="G9" s="18">
        <f>SUM(F9/F38)</f>
        <v>0.17494261781977521</v>
      </c>
      <c r="H9" s="17">
        <f>375.75*'[2]March 05'!$AZ$8</f>
        <v>38.10356058270466</v>
      </c>
      <c r="I9" s="18">
        <f>SUM(H9/H38)</f>
        <v>0.1074422807690583</v>
      </c>
      <c r="J9" s="17">
        <f>336.92*'[2]April 05'!$AY$8</f>
        <v>28.060733058061487</v>
      </c>
      <c r="K9" s="18">
        <f>SUM(J9/J38)</f>
        <v>0.08636188389034313</v>
      </c>
      <c r="L9" s="17">
        <f>350.79*'[2]May 05'!$AX$8</f>
        <v>34.99692095374906</v>
      </c>
      <c r="M9" s="18">
        <f>SUM(L9/L38)</f>
        <v>0.09434152533826867</v>
      </c>
      <c r="N9" s="17">
        <f>418.62*'[2]June 05'!$AX$8</f>
        <v>54.851194021729256</v>
      </c>
      <c r="O9" s="18">
        <f>SUM(N9/N38)</f>
        <v>0.13942446876266576</v>
      </c>
      <c r="P9" s="13">
        <v>3</v>
      </c>
      <c r="Q9" s="5" t="s">
        <v>19</v>
      </c>
      <c r="R9" s="17">
        <f>329.76*'[2]July 05'!$AW$8</f>
        <v>40.263621756132245</v>
      </c>
      <c r="S9" s="18">
        <f>SUM(R9/R38)</f>
        <v>0.13421210305572198</v>
      </c>
      <c r="T9" s="17">
        <f>350.54*'[2]Aug 05'!$AY$8</f>
        <v>8.912244633508472</v>
      </c>
      <c r="U9" s="18">
        <f>SUM(T9/T38)</f>
        <v>0.02806913540494134</v>
      </c>
      <c r="V9" s="17">
        <f>'[3]SEPT 05'!$AD$84*'[4]Sept 05'!$AW$8</f>
        <v>10.811528037822635</v>
      </c>
      <c r="W9" s="18">
        <f>SUM(V9/V38)</f>
        <v>0.03218702836229229</v>
      </c>
      <c r="X9" s="43"/>
      <c r="Y9" s="17"/>
      <c r="Z9" s="18"/>
      <c r="AA9" s="17"/>
      <c r="AB9" s="18"/>
      <c r="AC9" s="17"/>
      <c r="AD9" s="18"/>
      <c r="AE9" s="17">
        <f t="shared" si="0"/>
        <v>318.3821305779169</v>
      </c>
    </row>
    <row r="10" spans="1:31" s="38" customFormat="1" ht="12.75">
      <c r="A10" s="13"/>
      <c r="B10" s="5"/>
      <c r="C10" s="16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3"/>
      <c r="Q10" s="5"/>
      <c r="R10" s="17"/>
      <c r="S10" s="18"/>
      <c r="T10" s="17"/>
      <c r="U10" s="18"/>
      <c r="V10" s="17"/>
      <c r="W10" s="18"/>
      <c r="X10" s="45"/>
      <c r="Y10" s="17"/>
      <c r="Z10" s="19"/>
      <c r="AA10" s="17"/>
      <c r="AB10" s="19"/>
      <c r="AC10" s="17"/>
      <c r="AD10" s="19"/>
      <c r="AE10" s="17"/>
    </row>
    <row r="11" spans="1:31" s="38" customFormat="1" ht="12.75">
      <c r="A11" s="13">
        <v>4</v>
      </c>
      <c r="B11" s="5" t="s">
        <v>1</v>
      </c>
      <c r="C11" s="16">
        <v>1620</v>
      </c>
      <c r="D11" s="17">
        <f>'[1]JAN 05'!$AD$59*'[2]Jan 05'!$AX$10</f>
        <v>53.327871811882275</v>
      </c>
      <c r="E11" s="18">
        <f>SUM(D11/D38)</f>
        <v>0.1631868902169906</v>
      </c>
      <c r="F11" s="17">
        <f>305.96*'[2]Feb 05'!$AV$10</f>
        <v>43.05094057325376</v>
      </c>
      <c r="G11" s="18">
        <f>SUM(F11/F38)</f>
        <v>0.14970042030583955</v>
      </c>
      <c r="H11" s="17">
        <f>375.75*'[2]March 05'!$AZ$10</f>
        <v>46.77004145717899</v>
      </c>
      <c r="I11" s="18">
        <f>SUM(H11/H38)</f>
        <v>0.1318795369507705</v>
      </c>
      <c r="J11" s="17">
        <f>336.92*'[2]April 05'!$AY$10</f>
        <v>46.9964532983699</v>
      </c>
      <c r="K11" s="18">
        <f>SUM(J11/J38)</f>
        <v>0.14463992207950327</v>
      </c>
      <c r="L11" s="17">
        <f>350.79*'[2]May 05'!$AX$10</f>
        <v>47.53102946434732</v>
      </c>
      <c r="M11" s="18">
        <f>SUM(L11/L38)</f>
        <v>0.1281298382360792</v>
      </c>
      <c r="N11" s="17">
        <f>418.62*'[2]June 05'!$AX$10</f>
        <v>54.942308961964684</v>
      </c>
      <c r="O11" s="18">
        <f>SUM(N11/N38)</f>
        <v>0.13965607087024492</v>
      </c>
      <c r="P11" s="13">
        <v>4</v>
      </c>
      <c r="Q11" s="5" t="s">
        <v>1</v>
      </c>
      <c r="R11" s="17">
        <f>329.76*'[2]July 05'!$AW$10</f>
        <v>34.21157426235336</v>
      </c>
      <c r="S11" s="18">
        <f>SUM(R11/R38)</f>
        <v>0.11403860682001718</v>
      </c>
      <c r="T11" s="17">
        <f>350.54*'[2]Aug 05'!$AY$10</f>
        <v>62.06741798336257</v>
      </c>
      <c r="U11" s="18">
        <f>SUM(T11/T38)</f>
        <v>0.1954814787129843</v>
      </c>
      <c r="V11" s="17">
        <f>'[3]SEPT 05'!$AD$84*'[4]Sept 05'!$AW$10</f>
        <v>57.1907768857883</v>
      </c>
      <c r="W11" s="18">
        <f>SUM(V11/V38)</f>
        <v>0.1702628112552278</v>
      </c>
      <c r="X11" s="43"/>
      <c r="Y11" s="17"/>
      <c r="Z11" s="18"/>
      <c r="AA11" s="17"/>
      <c r="AB11" s="18"/>
      <c r="AC11" s="17"/>
      <c r="AD11" s="18"/>
      <c r="AE11" s="17">
        <f t="shared" si="0"/>
        <v>446.08841469850114</v>
      </c>
    </row>
    <row r="12" spans="1:31" s="38" customFormat="1" ht="12.75">
      <c r="A12" s="13"/>
      <c r="B12" s="5"/>
      <c r="C12" s="16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3"/>
      <c r="Q12" s="5"/>
      <c r="R12" s="17"/>
      <c r="S12" s="18"/>
      <c r="T12" s="17"/>
      <c r="U12" s="18"/>
      <c r="V12" s="17"/>
      <c r="W12" s="18"/>
      <c r="X12" s="45"/>
      <c r="Y12" s="17"/>
      <c r="Z12" s="19"/>
      <c r="AA12" s="17"/>
      <c r="AB12" s="19"/>
      <c r="AC12" s="17"/>
      <c r="AD12" s="19"/>
      <c r="AE12" s="17"/>
    </row>
    <row r="13" spans="1:31" s="38" customFormat="1" ht="12.75">
      <c r="A13" s="13">
        <v>5</v>
      </c>
      <c r="B13" s="5" t="s">
        <v>2</v>
      </c>
      <c r="C13" s="16">
        <v>1900</v>
      </c>
      <c r="D13" s="17">
        <f>'[1]JAN 05'!$AD$59*'[2]Jan 05'!$AX$12</f>
        <v>11.928692211961703</v>
      </c>
      <c r="E13" s="18">
        <f>SUM(D13/D38)</f>
        <v>0.036502603990882135</v>
      </c>
      <c r="F13" s="17">
        <f>305.96*'[2]Feb 05'!$AV$12</f>
        <v>11.07563027093665</v>
      </c>
      <c r="G13" s="18">
        <f>SUM(F13/F38)</f>
        <v>0.0385131308313709</v>
      </c>
      <c r="H13" s="17">
        <f>375.75*'[2]March 05'!$AZ$12</f>
        <v>14.901801723826297</v>
      </c>
      <c r="I13" s="18">
        <f>SUM(H13/H38)</f>
        <v>0.04201926382446578</v>
      </c>
      <c r="J13" s="17">
        <f>336.92*'[2]April 05'!$AY$12</f>
        <v>12.527112972348878</v>
      </c>
      <c r="K13" s="18">
        <f>SUM(J13/J38)</f>
        <v>0.03855441245104604</v>
      </c>
      <c r="L13" s="17">
        <f>350.79*'[2]May 05'!$AX$12</f>
        <v>10.452425460909712</v>
      </c>
      <c r="M13" s="18">
        <f>SUM(L13/L38)</f>
        <v>0.028176700538026678</v>
      </c>
      <c r="N13" s="17">
        <f>418.62*'[2]June 05'!$AX$12</f>
        <v>12.62321567845029</v>
      </c>
      <c r="O13" s="18">
        <f>SUM(N13/N38)</f>
        <v>0.032086541987532094</v>
      </c>
      <c r="P13" s="13">
        <v>5</v>
      </c>
      <c r="Q13" s="5" t="s">
        <v>2</v>
      </c>
      <c r="R13" s="17">
        <f>329.76*'[2]July 05'!$AW$12</f>
        <v>10.097166014930679</v>
      </c>
      <c r="S13" s="18">
        <f>SUM(R13/R38)</f>
        <v>0.03365722770729673</v>
      </c>
      <c r="T13" s="17">
        <f>350.54*'[2]Aug 05'!$AY$12</f>
        <v>0.6299577679935303</v>
      </c>
      <c r="U13" s="18">
        <f>SUM(T13/T38)</f>
        <v>0.0019840534698433235</v>
      </c>
      <c r="V13" s="17">
        <f>322.6*'[4]Sept 05'!$AW$12</f>
        <v>0</v>
      </c>
      <c r="W13" s="18">
        <f>SUM(V13/V38)</f>
        <v>0</v>
      </c>
      <c r="X13" s="43"/>
      <c r="Y13" s="17"/>
      <c r="Z13" s="18"/>
      <c r="AA13" s="17"/>
      <c r="AB13" s="18"/>
      <c r="AC13" s="17"/>
      <c r="AD13" s="18"/>
      <c r="AE13" s="17">
        <f t="shared" si="0"/>
        <v>84.23600210135774</v>
      </c>
    </row>
    <row r="14" spans="1:31" s="38" customFormat="1" ht="12.75">
      <c r="A14" s="13"/>
      <c r="B14" s="5"/>
      <c r="C14" s="16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3"/>
      <c r="Q14" s="5"/>
      <c r="R14" s="17"/>
      <c r="S14" s="18"/>
      <c r="T14" s="17"/>
      <c r="U14" s="18"/>
      <c r="V14" s="17"/>
      <c r="W14" s="18"/>
      <c r="X14" s="45"/>
      <c r="Y14" s="17"/>
      <c r="Z14" s="19"/>
      <c r="AA14" s="17"/>
      <c r="AB14" s="19"/>
      <c r="AC14" s="17"/>
      <c r="AD14" s="19"/>
      <c r="AE14" s="17"/>
    </row>
    <row r="15" spans="1:31" s="38" customFormat="1" ht="12.75">
      <c r="A15" s="13">
        <v>6</v>
      </c>
      <c r="B15" s="5" t="s">
        <v>3</v>
      </c>
      <c r="C15" s="16">
        <v>1300</v>
      </c>
      <c r="D15" s="17">
        <f>'[1]JAN 05'!$AD$59*'[2]Jan 05'!$AX$14</f>
        <v>0</v>
      </c>
      <c r="E15" s="18">
        <f>SUM(D15/D38)</f>
        <v>0</v>
      </c>
      <c r="F15" s="17">
        <f>305.96*'[2]Feb 05'!$AV$14</f>
        <v>0</v>
      </c>
      <c r="G15" s="18">
        <f>SUM(F15/F38)</f>
        <v>0</v>
      </c>
      <c r="H15" s="17">
        <f>375.75*'[2]March 05'!$AZ$14</f>
        <v>0.0002208639586756627</v>
      </c>
      <c r="I15" s="18">
        <f>SUM(H15/H38)</f>
        <v>6.227797900484772E-07</v>
      </c>
      <c r="J15" s="17">
        <f>336.92*'[2]April 05'!$AY$14</f>
        <v>0</v>
      </c>
      <c r="K15" s="18">
        <f>SUM(J15/J38)</f>
        <v>0</v>
      </c>
      <c r="L15" s="17">
        <f>350.79*'[2]May 05'!$AX$14</f>
        <v>0</v>
      </c>
      <c r="M15" s="18">
        <f>SUM(L15/L38)</f>
        <v>0</v>
      </c>
      <c r="N15" s="17">
        <f>418.62*'[2]June 05'!$AX$14</f>
        <v>0.7403088894128741</v>
      </c>
      <c r="O15" s="18">
        <f>SUM(N15/N38)</f>
        <v>0.0018817671240808293</v>
      </c>
      <c r="P15" s="13">
        <v>6</v>
      </c>
      <c r="Q15" s="5" t="s">
        <v>3</v>
      </c>
      <c r="R15" s="17">
        <f>329.76*'[2]July 05'!$AW$14</f>
        <v>0.2031937433345183</v>
      </c>
      <c r="S15" s="18">
        <f>SUM(R15/R38)</f>
        <v>0.0006773126318805845</v>
      </c>
      <c r="T15" s="17">
        <f>350.54*'[2]Aug 05'!$AY$14</f>
        <v>1.2930712079867202</v>
      </c>
      <c r="U15" s="18">
        <f>SUM(T15/T38)</f>
        <v>0.004072530806520506</v>
      </c>
      <c r="V15" s="17">
        <f>322.6*'[4]Sept 05'!$AW$14</f>
        <v>0.717091145365787</v>
      </c>
      <c r="W15" s="18">
        <f>SUM(V15/V38)</f>
        <v>0.0021348539219887743</v>
      </c>
      <c r="X15" s="43"/>
      <c r="Y15" s="17"/>
      <c r="Z15" s="18"/>
      <c r="AA15" s="17"/>
      <c r="AB15" s="18"/>
      <c r="AC15" s="17"/>
      <c r="AD15" s="18"/>
      <c r="AE15" s="17">
        <f t="shared" si="0"/>
        <v>2.953885850058575</v>
      </c>
    </row>
    <row r="16" spans="1:31" s="38" customFormat="1" ht="12.75">
      <c r="A16" s="13"/>
      <c r="B16" s="5"/>
      <c r="C16" s="16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3"/>
      <c r="Q16" s="5"/>
      <c r="R16" s="17"/>
      <c r="S16" s="18"/>
      <c r="T16" s="17"/>
      <c r="U16" s="18"/>
      <c r="V16" s="17"/>
      <c r="W16" s="18"/>
      <c r="X16" s="45"/>
      <c r="Y16" s="17"/>
      <c r="Z16" s="19"/>
      <c r="AA16" s="17"/>
      <c r="AB16" s="19"/>
      <c r="AC16" s="17"/>
      <c r="AD16" s="19"/>
      <c r="AE16" s="17"/>
    </row>
    <row r="17" spans="1:31" s="38" customFormat="1" ht="12.75">
      <c r="A17" s="13">
        <v>7</v>
      </c>
      <c r="B17" s="5" t="s">
        <v>4</v>
      </c>
      <c r="C17" s="16">
        <v>1400</v>
      </c>
      <c r="D17" s="17">
        <f>'[1]JAN 05'!$AD$59*'[2]Jan 05'!$AX$16</f>
        <v>1.900445985404994</v>
      </c>
      <c r="E17" s="18">
        <f>SUM(D17/D38)</f>
        <v>0.00581549309669815</v>
      </c>
      <c r="F17" s="17">
        <f>305.96*'[2]Feb 05'!$AV$16</f>
        <v>1.6802039729903897</v>
      </c>
      <c r="G17" s="18">
        <f>SUM(F17/F38)</f>
        <v>0.005842549259248217</v>
      </c>
      <c r="H17" s="17">
        <f>375.75*'[2]March 05'!$AZ$16</f>
        <v>5.1039452210358895</v>
      </c>
      <c r="I17" s="18">
        <f>SUM(H17/H38)</f>
        <v>0.014391818168230262</v>
      </c>
      <c r="J17" s="17">
        <f>336.92*'[2]April 05'!$AY$16</f>
        <v>0</v>
      </c>
      <c r="K17" s="18">
        <f>SUM(J17/J38)</f>
        <v>0</v>
      </c>
      <c r="L17" s="17">
        <f>350.79*'[2]May 05'!$AX$16</f>
        <v>3.0807148726891787</v>
      </c>
      <c r="M17" s="18">
        <f>SUM(L17/L38)</f>
        <v>0.008304711737523653</v>
      </c>
      <c r="N17" s="17">
        <f>418.62*'[2]June 05'!$AX$16</f>
        <v>4.252030544320097</v>
      </c>
      <c r="O17" s="18">
        <f>SUM(N17/N38)</f>
        <v>0.010808098353695018</v>
      </c>
      <c r="P17" s="13">
        <v>7</v>
      </c>
      <c r="Q17" s="5" t="s">
        <v>4</v>
      </c>
      <c r="R17" s="17">
        <f>329.76*'[2]July 05'!$AW$16</f>
        <v>2.6258883753999287</v>
      </c>
      <c r="S17" s="18">
        <f>SUM(R17/R38)</f>
        <v>0.008752963242764476</v>
      </c>
      <c r="T17" s="17">
        <f>350.54*'[2]Aug 05'!$AY$16</f>
        <v>3.017166151969014</v>
      </c>
      <c r="U17" s="18">
        <f>SUM(T17/T38)</f>
        <v>0.009502571881881182</v>
      </c>
      <c r="V17" s="17">
        <f>322.6*'[4]Sept 05'!$AW$16</f>
        <v>1.7375670060786377</v>
      </c>
      <c r="W17" s="18">
        <f>SUM(V17/V38)</f>
        <v>0.005172915272511261</v>
      </c>
      <c r="X17" s="43"/>
      <c r="Y17" s="17"/>
      <c r="Z17" s="18"/>
      <c r="AA17" s="17"/>
      <c r="AB17" s="18"/>
      <c r="AC17" s="17"/>
      <c r="AD17" s="18"/>
      <c r="AE17" s="17">
        <f t="shared" si="0"/>
        <v>23.39796212988813</v>
      </c>
    </row>
    <row r="18" spans="1:31" s="38" customFormat="1" ht="12.75">
      <c r="A18" s="13"/>
      <c r="B18" s="5"/>
      <c r="C18" s="16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3"/>
      <c r="Q18" s="5"/>
      <c r="R18" s="17"/>
      <c r="S18" s="18"/>
      <c r="T18" s="17"/>
      <c r="U18" s="18"/>
      <c r="V18" s="17"/>
      <c r="W18" s="18"/>
      <c r="X18" s="45"/>
      <c r="Y18" s="17"/>
      <c r="Z18" s="19"/>
      <c r="AA18" s="17"/>
      <c r="AB18" s="19"/>
      <c r="AC18" s="17"/>
      <c r="AD18" s="19"/>
      <c r="AE18" s="17"/>
    </row>
    <row r="19" spans="1:31" s="38" customFormat="1" ht="12.75">
      <c r="A19" s="13">
        <v>8</v>
      </c>
      <c r="B19" s="5" t="s">
        <v>5</v>
      </c>
      <c r="C19" s="16">
        <v>1860</v>
      </c>
      <c r="D19" s="17">
        <f>'[1]JAN 05'!$AD$59*'[2]Jan 05'!$AX$18</f>
        <v>6.312195594380874</v>
      </c>
      <c r="E19" s="18">
        <f>SUM(D19/D38)</f>
        <v>0.01931574492831886</v>
      </c>
      <c r="F19" s="17">
        <f>305.96*'[2]Feb 05'!$AV$18</f>
        <v>3.826750273178112</v>
      </c>
      <c r="G19" s="18">
        <f>SUM(F19/F38)</f>
        <v>0.013306704027185735</v>
      </c>
      <c r="H19" s="17">
        <f>375.75*'[2]March 05'!$AZ$18</f>
        <v>6.163871358720394</v>
      </c>
      <c r="I19" s="18">
        <f>SUM(H19/H38)</f>
        <v>0.017380538380672904</v>
      </c>
      <c r="J19" s="17">
        <f>336.92*'[2]April 05'!$AY$18</f>
        <v>3.6790152834582495</v>
      </c>
      <c r="K19" s="18">
        <f>SUM(J19/J38)</f>
        <v>0.011322822182991415</v>
      </c>
      <c r="L19" s="17">
        <f>350.79*'[2]May 05'!$AX$18</f>
        <v>6.958014591030845</v>
      </c>
      <c r="M19" s="18">
        <f>SUM(L19/L38)</f>
        <v>0.018756784652892707</v>
      </c>
      <c r="N19" s="17">
        <f>418.62*'[2]June 05'!$AX$18</f>
        <v>3.8837743275352317</v>
      </c>
      <c r="O19" s="18">
        <f>SUM(N19/N38)</f>
        <v>0.009872039835562504</v>
      </c>
      <c r="P19" s="13">
        <v>8</v>
      </c>
      <c r="Q19" s="5" t="s">
        <v>5</v>
      </c>
      <c r="R19" s="17">
        <f>329.76*'[2]July 05'!$AW$18</f>
        <v>4.942297049413438</v>
      </c>
      <c r="S19" s="18">
        <f>SUM(R19/R38)</f>
        <v>0.01647432724620314</v>
      </c>
      <c r="T19" s="17">
        <f>350.54*'[2]Aug 05'!$AY$18</f>
        <v>4.316868494355666</v>
      </c>
      <c r="U19" s="18">
        <f>SUM(T19/T38)</f>
        <v>0.01359598746176846</v>
      </c>
      <c r="V19" s="17">
        <f>322.6*'[4]Sept 05'!$AW$18</f>
        <v>3.8474697991741262</v>
      </c>
      <c r="W19" s="18">
        <f>SUM(V19/V38)</f>
        <v>0.011454312389132078</v>
      </c>
      <c r="X19" s="43"/>
      <c r="Y19" s="17"/>
      <c r="Z19" s="18"/>
      <c r="AA19" s="17"/>
      <c r="AB19" s="18"/>
      <c r="AC19" s="17"/>
      <c r="AD19" s="18"/>
      <c r="AE19" s="17">
        <f t="shared" si="0"/>
        <v>43.93025677124694</v>
      </c>
    </row>
    <row r="20" spans="1:31" s="38" customFormat="1" ht="12.75">
      <c r="A20" s="13"/>
      <c r="B20" s="5"/>
      <c r="C20" s="16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3"/>
      <c r="Q20" s="5"/>
      <c r="R20" s="17"/>
      <c r="S20" s="18"/>
      <c r="T20" s="17"/>
      <c r="U20" s="18"/>
      <c r="V20" s="17"/>
      <c r="W20" s="18"/>
      <c r="X20" s="45"/>
      <c r="Y20" s="17"/>
      <c r="Z20" s="19"/>
      <c r="AA20" s="17"/>
      <c r="AB20" s="19"/>
      <c r="AC20" s="17"/>
      <c r="AD20" s="19"/>
      <c r="AE20" s="17"/>
    </row>
    <row r="21" spans="1:31" s="38" customFormat="1" ht="12.75">
      <c r="A21" s="13">
        <v>9</v>
      </c>
      <c r="B21" s="5" t="s">
        <v>6</v>
      </c>
      <c r="C21" s="16">
        <v>940</v>
      </c>
      <c r="D21" s="17">
        <f>'[1]JAN 05'!$AD$59*'[2]Jan 05'!$AX$20</f>
        <v>1.9140205995864583</v>
      </c>
      <c r="E21" s="18">
        <f>SUM(D21/D38)</f>
        <v>0.005857032333103137</v>
      </c>
      <c r="F21" s="17">
        <f>305.96*'[2]Feb 05'!$AV$20</f>
        <v>1.9339490627889382</v>
      </c>
      <c r="G21" s="18">
        <f>SUM(F21/F38)</f>
        <v>0.006724893433093866</v>
      </c>
      <c r="H21" s="17">
        <f>375.75*'[2]March 05'!$AZ$20</f>
        <v>1.7656969176325852</v>
      </c>
      <c r="I21" s="18">
        <f>SUM(H21/H38)</f>
        <v>0.004978813031542551</v>
      </c>
      <c r="J21" s="17">
        <f>336.92*'[2]April 05'!$AY$20</f>
        <v>0.6197624312635761</v>
      </c>
      <c r="K21" s="18">
        <f>SUM(J21/J38)</f>
        <v>0.0019074288265254356</v>
      </c>
      <c r="L21" s="17">
        <f>350.79*'[2]May 05'!$AX$20</f>
        <v>1.8616319873536036</v>
      </c>
      <c r="M21" s="18">
        <f>SUM(L21/L38)</f>
        <v>0.005018418664246436</v>
      </c>
      <c r="N21" s="17">
        <f>418.62*'[2]June 05'!$AX$20</f>
        <v>3.5686684925543677</v>
      </c>
      <c r="O21" s="18">
        <f>SUM(N21/N38)</f>
        <v>0.009071082546851178</v>
      </c>
      <c r="P21" s="13">
        <v>9</v>
      </c>
      <c r="Q21" s="5" t="s">
        <v>6</v>
      </c>
      <c r="R21" s="17">
        <f>329.76*'[2]July 05'!$AW$20</f>
        <v>2.0569458940632774</v>
      </c>
      <c r="S21" s="18">
        <f>SUM(R21/R38)</f>
        <v>0.006856487873498839</v>
      </c>
      <c r="T21" s="17">
        <f>350.54*'[2]Aug 05'!$AY$20</f>
        <v>2.6491381927727935</v>
      </c>
      <c r="U21" s="18">
        <f>SUM(T21/T38)</f>
        <v>0.008343466960025346</v>
      </c>
      <c r="V21" s="17">
        <f>322.6*'[4]Sept 05'!$AW$20</f>
        <v>1.5555361768703992</v>
      </c>
      <c r="W21" s="18">
        <f>SUM(V21/V38)</f>
        <v>0.004630990815391033</v>
      </c>
      <c r="X21" s="43"/>
      <c r="Y21" s="17"/>
      <c r="Z21" s="18"/>
      <c r="AA21" s="17"/>
      <c r="AB21" s="18"/>
      <c r="AC21" s="17"/>
      <c r="AD21" s="18"/>
      <c r="AE21" s="17">
        <f t="shared" si="0"/>
        <v>17.925349754886</v>
      </c>
    </row>
    <row r="22" spans="1:31" s="38" customFormat="1" ht="12.75">
      <c r="A22" s="13"/>
      <c r="B22" s="5"/>
      <c r="C22" s="16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3"/>
      <c r="Q22" s="5"/>
      <c r="R22" s="17"/>
      <c r="S22" s="18"/>
      <c r="T22" s="17"/>
      <c r="U22" s="18"/>
      <c r="V22" s="17"/>
      <c r="W22" s="18"/>
      <c r="X22" s="45"/>
      <c r="Y22" s="17"/>
      <c r="Z22" s="19"/>
      <c r="AA22" s="17"/>
      <c r="AB22" s="19"/>
      <c r="AC22" s="17"/>
      <c r="AD22" s="19"/>
      <c r="AE22" s="17"/>
    </row>
    <row r="23" spans="1:31" s="38" customFormat="1" ht="12.75">
      <c r="A23" s="13">
        <v>10</v>
      </c>
      <c r="B23" s="5" t="s">
        <v>7</v>
      </c>
      <c r="C23" s="16">
        <v>1060</v>
      </c>
      <c r="D23" s="17">
        <f>'[1]JAN 05'!$AD$59*'[2]Jan 05'!$AX$22</f>
        <v>5.036181861323234</v>
      </c>
      <c r="E23" s="18">
        <f>SUM(D23/D38)</f>
        <v>0.015411056706250098</v>
      </c>
      <c r="F23" s="17">
        <f>305.96*'[2]Feb 05'!$AV$22</f>
        <v>5.633826791067776</v>
      </c>
      <c r="G23" s="18">
        <f>SUM(F23/F38)</f>
        <v>0.019590425373356778</v>
      </c>
      <c r="H23" s="17">
        <f>375.75*'[2]March 05'!$AZ$22</f>
        <v>3.747619650808644</v>
      </c>
      <c r="I23" s="18">
        <f>SUM(H23/H38)</f>
        <v>0.01056732747754256</v>
      </c>
      <c r="J23" s="17">
        <f>336.92*'[2]April 05'!$AY$22</f>
        <v>4.19328623705994</v>
      </c>
      <c r="K23" s="18">
        <f>SUM(J23/J38)</f>
        <v>0.01290558227308699</v>
      </c>
      <c r="L23" s="17">
        <f>350.79*'[2]May 05'!$AX$22</f>
        <v>5.1315907736508315</v>
      </c>
      <c r="M23" s="18">
        <f>SUM(L23/L38)</f>
        <v>0.013833276979932255</v>
      </c>
      <c r="N23" s="17">
        <f>418.62*'[2]June 05'!$AX$22</f>
        <v>7.646062068089889</v>
      </c>
      <c r="O23" s="18">
        <f>SUM(N23/N38)</f>
        <v>0.019435276861019438</v>
      </c>
      <c r="P23" s="13">
        <v>10</v>
      </c>
      <c r="Q23" s="5" t="s">
        <v>7</v>
      </c>
      <c r="R23" s="17">
        <f>329.76*'[2]July 05'!$AW$22</f>
        <v>5.798836829008176</v>
      </c>
      <c r="S23" s="18">
        <f>SUM(R23/R38)</f>
        <v>0.01932946049443822</v>
      </c>
      <c r="T23" s="17">
        <f>350.54*'[2]Aug 05'!$AY$22</f>
        <v>6.853277402329618</v>
      </c>
      <c r="U23" s="18">
        <f>SUM(T23/T38)</f>
        <v>0.02158441327455869</v>
      </c>
      <c r="V23" s="17">
        <f>322.6*'[4]Sept 05'!$AW$22</f>
        <v>5.554698333718058</v>
      </c>
      <c r="W23" s="18">
        <f>SUM(V23/V38)</f>
        <v>0.016536906918789968</v>
      </c>
      <c r="X23" s="43"/>
      <c r="Y23" s="17"/>
      <c r="Z23" s="18"/>
      <c r="AA23" s="17"/>
      <c r="AB23" s="18"/>
      <c r="AC23" s="17"/>
      <c r="AD23" s="18"/>
      <c r="AE23" s="17">
        <f t="shared" si="0"/>
        <v>49.595379947056166</v>
      </c>
    </row>
    <row r="24" spans="1:31" s="38" customFormat="1" ht="12.75">
      <c r="A24" s="13"/>
      <c r="B24" s="5"/>
      <c r="C24" s="16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3"/>
      <c r="Q24" s="5"/>
      <c r="R24" s="17"/>
      <c r="S24" s="18"/>
      <c r="T24" s="17"/>
      <c r="U24" s="18"/>
      <c r="V24" s="17"/>
      <c r="W24" s="18"/>
      <c r="X24" s="45"/>
      <c r="Y24" s="17"/>
      <c r="Z24" s="19"/>
      <c r="AA24" s="17"/>
      <c r="AB24" s="19"/>
      <c r="AC24" s="17"/>
      <c r="AD24" s="19"/>
      <c r="AE24" s="17"/>
    </row>
    <row r="25" spans="1:31" s="38" customFormat="1" ht="12.75">
      <c r="A25" s="13">
        <v>11</v>
      </c>
      <c r="B25" s="5" t="s">
        <v>8</v>
      </c>
      <c r="C25" s="16">
        <v>1300</v>
      </c>
      <c r="D25" s="17">
        <f>'[1]JAN 05'!$AD$59*'[2]Jan 05'!$AX$24</f>
        <v>3.3088122067319095</v>
      </c>
      <c r="E25" s="18">
        <f>SUM(D25/D38)</f>
        <v>0.01012518887371553</v>
      </c>
      <c r="F25" s="17">
        <f>305.96*'[2]Feb 05'!$AV$24</f>
        <v>1.7830736039898014</v>
      </c>
      <c r="G25" s="18">
        <f>SUM(F25/F38)</f>
        <v>0.006200256356753211</v>
      </c>
      <c r="H25" s="17">
        <f>375.75*'[2]March 05'!$AZ$24</f>
        <v>2.4416510631594512</v>
      </c>
      <c r="I25" s="18">
        <f>SUM(H25/H38)</f>
        <v>0.006884830578985917</v>
      </c>
      <c r="J25" s="17">
        <f>336.92*'[2]April 05'!$AY$24</f>
        <v>0.8571182560028181</v>
      </c>
      <c r="K25" s="18">
        <f>SUM(J25/J38)</f>
        <v>0.0026379334834926243</v>
      </c>
      <c r="L25" s="17">
        <f>350.79*'[2]May 05'!$AX$24</f>
        <v>3.718862953460508</v>
      </c>
      <c r="M25" s="18">
        <f>SUM(L25/L38)</f>
        <v>0.010024973454582123</v>
      </c>
      <c r="N25" s="17">
        <f>418.62*'[2]June 05'!$AX$24</f>
        <v>3.9483140768686624</v>
      </c>
      <c r="O25" s="18">
        <f>SUM(N25/N38)</f>
        <v>0.010036091328431092</v>
      </c>
      <c r="P25" s="13">
        <v>11</v>
      </c>
      <c r="Q25" s="5" t="s">
        <v>8</v>
      </c>
      <c r="R25" s="17">
        <f>329.76*'[2]July 05'!$AW$24</f>
        <v>3.0479061500177744</v>
      </c>
      <c r="S25" s="18">
        <f>SUM(R25/R38)</f>
        <v>0.010159689478208767</v>
      </c>
      <c r="T25" s="17">
        <f>350.54*'[2]Aug 05'!$AY$24</f>
        <v>3.232678019966801</v>
      </c>
      <c r="U25" s="18">
        <f>SUM(T25/T38)</f>
        <v>0.010181327016301268</v>
      </c>
      <c r="V25" s="17">
        <f>322.6*'[4]Sept 05'!$AW$24</f>
        <v>2.1512734360973607</v>
      </c>
      <c r="W25" s="18">
        <f>SUM(V25/V38)</f>
        <v>0.006404561765966322</v>
      </c>
      <c r="X25" s="43"/>
      <c r="Y25" s="17"/>
      <c r="Z25" s="18"/>
      <c r="AA25" s="17"/>
      <c r="AB25" s="18"/>
      <c r="AC25" s="17"/>
      <c r="AD25" s="18"/>
      <c r="AE25" s="17">
        <f t="shared" si="0"/>
        <v>24.489689766295086</v>
      </c>
    </row>
    <row r="26" spans="1:31" s="38" customFormat="1" ht="12.75">
      <c r="A26" s="13"/>
      <c r="B26" s="5"/>
      <c r="C26" s="16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13"/>
      <c r="Q26" s="5"/>
      <c r="R26" s="17"/>
      <c r="S26" s="18"/>
      <c r="T26" s="17"/>
      <c r="U26" s="18"/>
      <c r="V26" s="17"/>
      <c r="W26" s="18"/>
      <c r="X26" s="45"/>
      <c r="Y26" s="17"/>
      <c r="Z26" s="19"/>
      <c r="AA26" s="17"/>
      <c r="AB26" s="19"/>
      <c r="AC26" s="17"/>
      <c r="AD26" s="19"/>
      <c r="AE26" s="17"/>
    </row>
    <row r="27" spans="1:31" s="38" customFormat="1" ht="12.75">
      <c r="A27" s="13">
        <v>12</v>
      </c>
      <c r="B27" s="5" t="s">
        <v>9</v>
      </c>
      <c r="C27" s="16">
        <v>1300</v>
      </c>
      <c r="D27" s="17">
        <f>'[1]JAN 05'!$AD$59*'[2]Jan 05'!$AX$26</f>
        <v>1.3235248826927637</v>
      </c>
      <c r="E27" s="18">
        <f>SUM(D27/D38)</f>
        <v>0.004050075549486212</v>
      </c>
      <c r="F27" s="17">
        <f>305.96*'[2]Feb 05'!$AV$26</f>
        <v>1.7830736039898014</v>
      </c>
      <c r="G27" s="18">
        <f>SUM(F27/F38)</f>
        <v>0.006200256356753211</v>
      </c>
      <c r="H27" s="17">
        <f>375.75*'[2]March 05'!$AZ$26</f>
        <v>1.4362783232678342</v>
      </c>
      <c r="I27" s="18">
        <f>SUM(H27/H38)</f>
        <v>0.004049936974685247</v>
      </c>
      <c r="J27" s="17">
        <f>336.92*'[2]April 05'!$AY$26</f>
        <v>0.8571182560028181</v>
      </c>
      <c r="K27" s="18">
        <f>SUM(J27/J38)</f>
        <v>0.0026379334834926243</v>
      </c>
      <c r="L27" s="17">
        <f>350.79*'[2]May 05'!$AX$26</f>
        <v>1.7163982862125422</v>
      </c>
      <c r="M27" s="18">
        <f>SUM(L27/L38)</f>
        <v>0.004626910825191749</v>
      </c>
      <c r="N27" s="17">
        <f>418.62*'[2]June 05'!$AX$26</f>
        <v>1.9741570384343312</v>
      </c>
      <c r="O27" s="18">
        <f>SUM(N27/N38)</f>
        <v>0.005018045664215546</v>
      </c>
      <c r="P27" s="13">
        <v>12</v>
      </c>
      <c r="Q27" s="5" t="s">
        <v>9</v>
      </c>
      <c r="R27" s="17">
        <f>329.76*'[2]July 05'!$AW$26</f>
        <v>1.422356203341628</v>
      </c>
      <c r="S27" s="18">
        <f>SUM(R27/R38)</f>
        <v>0.004741188423164091</v>
      </c>
      <c r="T27" s="17">
        <f>350.54*'[2]Aug 05'!$AY$26</f>
        <v>1.9396068119800802</v>
      </c>
      <c r="U27" s="18">
        <f>SUM(T27/T38)</f>
        <v>0.006108796209780759</v>
      </c>
      <c r="V27" s="17">
        <f>322.6*'[4]Sept 05'!$AW$26</f>
        <v>1.254909504390127</v>
      </c>
      <c r="W27" s="18">
        <f>SUM(V27/V38)</f>
        <v>0.0037359943634803546</v>
      </c>
      <c r="X27" s="43"/>
      <c r="Y27" s="17"/>
      <c r="Z27" s="18"/>
      <c r="AA27" s="17"/>
      <c r="AB27" s="18"/>
      <c r="AC27" s="17"/>
      <c r="AD27" s="18"/>
      <c r="AE27" s="17">
        <f t="shared" si="0"/>
        <v>13.707422910311928</v>
      </c>
    </row>
    <row r="28" spans="1:31" s="38" customFormat="1" ht="12.75">
      <c r="A28" s="13"/>
      <c r="B28" s="5"/>
      <c r="C28" s="16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3"/>
      <c r="Q28" s="5"/>
      <c r="R28" s="17"/>
      <c r="S28" s="18"/>
      <c r="T28" s="17"/>
      <c r="U28" s="18"/>
      <c r="V28" s="17"/>
      <c r="W28" s="18"/>
      <c r="X28" s="45"/>
      <c r="Y28" s="17"/>
      <c r="Z28" s="19"/>
      <c r="AA28" s="17"/>
      <c r="AB28" s="19"/>
      <c r="AC28" s="17"/>
      <c r="AD28" s="19"/>
      <c r="AE28" s="17"/>
    </row>
    <row r="29" spans="1:31" s="38" customFormat="1" ht="12.75">
      <c r="A29" s="13">
        <v>13</v>
      </c>
      <c r="B29" s="5" t="s">
        <v>10</v>
      </c>
      <c r="C29" s="16">
        <v>1660</v>
      </c>
      <c r="D29" s="17">
        <f>'[1]JAN 05'!$AD$59*'[2]Jan 05'!$AX$28</f>
        <v>0.8450197327961492</v>
      </c>
      <c r="E29" s="18">
        <f>SUM(D29/D38)</f>
        <v>0.0025858174662104277</v>
      </c>
      <c r="F29" s="17">
        <f>305.96*'[2]Feb 05'!$AV$28</f>
        <v>0</v>
      </c>
      <c r="G29" s="18">
        <f>SUM(F29/F38)</f>
        <v>0</v>
      </c>
      <c r="H29" s="17">
        <f>375.75*'[2]March 05'!$AZ$28</f>
        <v>0.18342751768013782</v>
      </c>
      <c r="I29" s="18">
        <f>SUM(H29/H38)</f>
        <v>0.0005172186156352603</v>
      </c>
      <c r="J29" s="17">
        <f>336.92*'[2]April 05'!$AY$28</f>
        <v>0</v>
      </c>
      <c r="K29" s="18">
        <f>SUM(J29/J38)</f>
        <v>0</v>
      </c>
      <c r="L29" s="17">
        <f>350.79*'[2]May 05'!$AX$28</f>
        <v>0</v>
      </c>
      <c r="M29" s="18">
        <f>SUM(L29/L38)</f>
        <v>0</v>
      </c>
      <c r="N29" s="17">
        <f>418.62*'[2]June 05'!$AX$28</f>
        <v>0</v>
      </c>
      <c r="O29" s="18">
        <f>SUM(N29/N38)</f>
        <v>0</v>
      </c>
      <c r="P29" s="13">
        <v>13</v>
      </c>
      <c r="Q29" s="5" t="s">
        <v>10</v>
      </c>
      <c r="R29" s="17">
        <f>329.76*'[2]July 05'!$AW$28</f>
        <v>0.25946277995023104</v>
      </c>
      <c r="S29" s="18">
        <f>SUM(R29/R38)</f>
        <v>0.0008648761299398232</v>
      </c>
      <c r="T29" s="17">
        <f>350.54*'[2]Aug 05'!$AY$28</f>
        <v>0.2751920775971738</v>
      </c>
      <c r="U29" s="18">
        <f>SUM(T29/T38)</f>
        <v>0.0008667180947210309</v>
      </c>
      <c r="V29" s="17">
        <f>322.6*'[4]Sept 05'!$AW$28</f>
        <v>0</v>
      </c>
      <c r="W29" s="18">
        <f>SUM(V29/V38)</f>
        <v>0</v>
      </c>
      <c r="X29" s="43"/>
      <c r="Y29" s="17"/>
      <c r="Z29" s="18"/>
      <c r="AA29" s="17"/>
      <c r="AB29" s="18"/>
      <c r="AC29" s="17"/>
      <c r="AD29" s="18"/>
      <c r="AE29" s="17">
        <f t="shared" si="0"/>
        <v>1.5631021080236915</v>
      </c>
    </row>
    <row r="30" spans="1:31" s="38" customFormat="1" ht="12.75">
      <c r="A30" s="13"/>
      <c r="B30" s="5"/>
      <c r="C30" s="16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13"/>
      <c r="Q30" s="5"/>
      <c r="R30" s="17"/>
      <c r="S30" s="18"/>
      <c r="T30" s="17"/>
      <c r="U30" s="18"/>
      <c r="V30" s="17"/>
      <c r="W30" s="18"/>
      <c r="X30" s="45"/>
      <c r="Y30" s="17"/>
      <c r="Z30" s="19"/>
      <c r="AA30" s="17"/>
      <c r="AB30" s="19"/>
      <c r="AC30" s="17"/>
      <c r="AD30" s="19"/>
      <c r="AE30" s="17"/>
    </row>
    <row r="31" spans="1:31" s="38" customFormat="1" ht="12.75">
      <c r="A31" s="13">
        <v>14</v>
      </c>
      <c r="B31" s="5" t="s">
        <v>12</v>
      </c>
      <c r="C31" s="16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  <c r="P31" s="13">
        <v>14</v>
      </c>
      <c r="Q31" s="5" t="s">
        <v>12</v>
      </c>
      <c r="R31" s="17"/>
      <c r="S31" s="18"/>
      <c r="T31" s="17"/>
      <c r="U31" s="18"/>
      <c r="V31" s="17"/>
      <c r="W31" s="18"/>
      <c r="X31" s="45"/>
      <c r="Y31" s="17"/>
      <c r="Z31" s="19"/>
      <c r="AA31" s="17"/>
      <c r="AB31" s="19"/>
      <c r="AC31" s="17"/>
      <c r="AD31" s="19"/>
      <c r="AE31" s="17"/>
    </row>
    <row r="32" spans="1:31" s="38" customFormat="1" ht="12.75">
      <c r="A32" s="13"/>
      <c r="B32" s="5" t="s">
        <v>31</v>
      </c>
      <c r="C32" s="16">
        <v>925</v>
      </c>
      <c r="D32" s="17">
        <f>'[1]JAN 05'!$AD$59*'[2]Jan 05'!$AX$31</f>
        <v>53.45004333951546</v>
      </c>
      <c r="E32" s="18">
        <f>SUM(D32/D38)</f>
        <v>0.1635607433446355</v>
      </c>
      <c r="F32" s="17">
        <f>305.96*'[2]Feb 05'!$AV$31</f>
        <v>45.00546356224258</v>
      </c>
      <c r="G32" s="18">
        <f>SUM(F32/F38)</f>
        <v>0.1564968551584344</v>
      </c>
      <c r="H32" s="17">
        <f>375.75*'[2]March 05'!$AZ$31</f>
        <v>51.63788310639059</v>
      </c>
      <c r="I32" s="18">
        <f>SUM(H32/H38)</f>
        <v>0.14560560352343893</v>
      </c>
      <c r="J32" s="17">
        <f>336.92*'[2]April 05'!$AY$31</f>
        <v>42.8559128001409</v>
      </c>
      <c r="K32" s="18">
        <f>SUM(J32/J38)</f>
        <v>0.1318966741746312</v>
      </c>
      <c r="L32" s="17">
        <f>350.79*'[2]May 05'!$AX$31</f>
        <v>57.21327620708474</v>
      </c>
      <c r="M32" s="18">
        <f>SUM(L32/L38)</f>
        <v>0.15423036083972497</v>
      </c>
      <c r="N32" s="17">
        <f>418.62*'[2]June 05'!$AX$31</f>
        <v>60.74329349028711</v>
      </c>
      <c r="O32" s="18">
        <f>SUM(N32/N38)</f>
        <v>0.154401405052786</v>
      </c>
      <c r="P32" s="13"/>
      <c r="Q32" s="5" t="s">
        <v>31</v>
      </c>
      <c r="R32" s="17">
        <f>329.76*'[2]July 05'!$AW$31</f>
        <v>46.10934944898685</v>
      </c>
      <c r="S32" s="18">
        <f>SUM(R32/R38)</f>
        <v>0.15369786646520955</v>
      </c>
      <c r="T32" s="17">
        <f>350.54*'[2]Aug 05'!$AY$31</f>
        <v>53.87796699944668</v>
      </c>
      <c r="U32" s="18">
        <f>SUM(T32/T38)</f>
        <v>0.1696887836050211</v>
      </c>
      <c r="V32" s="17">
        <f>322.6*'[4]Sept 05'!$AW$31</f>
        <v>44.12868586866381</v>
      </c>
      <c r="W32" s="18">
        <f>SUM(V32/V38)</f>
        <v>0.13137562596853994</v>
      </c>
      <c r="X32" s="43"/>
      <c r="Y32" s="17"/>
      <c r="Z32" s="18"/>
      <c r="AA32" s="17"/>
      <c r="AB32" s="18"/>
      <c r="AC32" s="17"/>
      <c r="AD32" s="18"/>
      <c r="AE32" s="17">
        <f t="shared" si="0"/>
        <v>455.0218748227587</v>
      </c>
    </row>
    <row r="33" spans="1:31" s="38" customFormat="1" ht="12.75">
      <c r="A33" s="13"/>
      <c r="B33" s="5" t="s">
        <v>32</v>
      </c>
      <c r="C33" s="16">
        <v>925</v>
      </c>
      <c r="D33" s="17">
        <f>'[1]JAN 05'!$AD$59*'[2]Jan 05'!$AX$32</f>
        <v>18.240887806342577</v>
      </c>
      <c r="E33" s="18">
        <f>SUM(D33/D38)</f>
        <v>0.055818348919201</v>
      </c>
      <c r="F33" s="17">
        <f>305.96*'[2]Feb 05'!$AV$32</f>
        <v>16.287691574906837</v>
      </c>
      <c r="G33" s="18">
        <f>SUM(F33/F38)</f>
        <v>0.056636957104957204</v>
      </c>
      <c r="H33" s="17">
        <f>375.75*'[2]March 05'!$AZ$32</f>
        <v>19.329682367355982</v>
      </c>
      <c r="I33" s="18">
        <f>SUM(H33/H38)</f>
        <v>0.05450475305535765</v>
      </c>
      <c r="J33" s="17">
        <f>336.92*'[2]April 05'!$AY$32</f>
        <v>13.186434707735662</v>
      </c>
      <c r="K33" s="18">
        <f>SUM(J33/J38)</f>
        <v>0.04058359205373267</v>
      </c>
      <c r="L33" s="17">
        <f>350.79*'[2]May 05'!$AX$32</f>
        <v>20.904850921819424</v>
      </c>
      <c r="M33" s="18">
        <f>SUM(L33/L38)</f>
        <v>0.056353401076053355</v>
      </c>
      <c r="N33" s="17">
        <f>418.62*'[2]June 05'!$AX$32</f>
        <v>20.405950156893326</v>
      </c>
      <c r="O33" s="18">
        <f>SUM(N33/N38)</f>
        <v>0.0518692220099203</v>
      </c>
      <c r="P33" s="13"/>
      <c r="Q33" s="5" t="s">
        <v>32</v>
      </c>
      <c r="R33" s="17">
        <f>329.76*'[2]July 05'!$AW$32</f>
        <v>16.80255954496978</v>
      </c>
      <c r="S33" s="18">
        <f>SUM(R33/R38)</f>
        <v>0.05600854455935602</v>
      </c>
      <c r="T33" s="17">
        <f>350.54*'[2]Aug 05'!$AY$32</f>
        <v>17.406727799821233</v>
      </c>
      <c r="U33" s="18">
        <f>SUM(T33/T38)</f>
        <v>0.05482253008777605</v>
      </c>
      <c r="V33" s="17">
        <f>322.6*'[4]Sept 05'!$AW$32</f>
        <v>12.755948258910632</v>
      </c>
      <c r="W33" s="18">
        <f>SUM(V33/V38)</f>
        <v>0.03797576688153108</v>
      </c>
      <c r="X33" s="43"/>
      <c r="Y33" s="17"/>
      <c r="Z33" s="18"/>
      <c r="AA33" s="17"/>
      <c r="AB33" s="18"/>
      <c r="AC33" s="17"/>
      <c r="AD33" s="18"/>
      <c r="AE33" s="17">
        <f t="shared" si="0"/>
        <v>155.32073313875543</v>
      </c>
    </row>
    <row r="34" spans="1:31" s="38" customFormat="1" ht="12.75">
      <c r="A34" s="13"/>
      <c r="B34" s="5" t="s">
        <v>33</v>
      </c>
      <c r="C34" s="16">
        <v>1300</v>
      </c>
      <c r="D34" s="17">
        <f>'[1]JAN 05'!$AD$59*'[2]Jan 05'!$AX$33</f>
        <v>20.192238594928064</v>
      </c>
      <c r="E34" s="18">
        <f>SUM(D34/D38)</f>
        <v>0.06178961415241785</v>
      </c>
      <c r="F34" s="17">
        <f>305.96*'[2]Feb 05'!$AV$33</f>
        <v>18.002185424897032</v>
      </c>
      <c r="G34" s="18">
        <f>SUM(F34/F38)</f>
        <v>0.06259874206337376</v>
      </c>
      <c r="H34" s="17">
        <f>375.75*'[2]March 05'!$AZ$33</f>
        <v>47.93432581533774</v>
      </c>
      <c r="I34" s="18">
        <f>SUM(H34/H38)</f>
        <v>0.13516252061401104</v>
      </c>
      <c r="J34" s="17">
        <f>336.92*'[2]April 05'!$AY$33</f>
        <v>57.69065184634352</v>
      </c>
      <c r="K34" s="18">
        <f>SUM(J34/J38)</f>
        <v>0.17755321523508044</v>
      </c>
      <c r="L34" s="17">
        <f>350.79*'[2]May 05'!$AX$33</f>
        <v>50.831795399371444</v>
      </c>
      <c r="M34" s="18">
        <f>SUM(L34/L38)</f>
        <v>0.13702774366914028</v>
      </c>
      <c r="N34" s="17">
        <f>418.62*'[2]June 05'!$AX$33</f>
        <v>31.22584930985072</v>
      </c>
      <c r="O34" s="18">
        <f>SUM(N34/N38)</f>
        <v>0.07937197228494781</v>
      </c>
      <c r="P34" s="13"/>
      <c r="Q34" s="5" t="s">
        <v>33</v>
      </c>
      <c r="R34" s="17">
        <f>329.76*'[2]July 05'!$AW$33</f>
        <v>19.147102737291146</v>
      </c>
      <c r="S34" s="18">
        <f>SUM(R34/R38)</f>
        <v>0.0638236903118243</v>
      </c>
      <c r="T34" s="17">
        <v>33</v>
      </c>
      <c r="U34" s="18">
        <f>SUM(T34/T38)</f>
        <v>0.10393357750531318</v>
      </c>
      <c r="V34" s="17">
        <f>322.6*'[4]Sept 05'!$AW$33</f>
        <v>34.26868261988424</v>
      </c>
      <c r="W34" s="18">
        <f>SUM(V34/V38)</f>
        <v>0.1020213845411943</v>
      </c>
      <c r="X34" s="43"/>
      <c r="Y34" s="17"/>
      <c r="Z34" s="18"/>
      <c r="AA34" s="17"/>
      <c r="AB34" s="18"/>
      <c r="AC34" s="17"/>
      <c r="AD34" s="18"/>
      <c r="AE34" s="17">
        <f t="shared" si="0"/>
        <v>312.2928317479039</v>
      </c>
    </row>
    <row r="35" spans="1:31" s="38" customFormat="1" ht="12.75">
      <c r="A35" s="13"/>
      <c r="B35" s="5"/>
      <c r="C35" s="16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  <c r="P35" s="13"/>
      <c r="Q35" s="5"/>
      <c r="R35" s="17"/>
      <c r="S35" s="18"/>
      <c r="T35" s="17"/>
      <c r="U35" s="18"/>
      <c r="V35" s="46"/>
      <c r="W35" s="18"/>
      <c r="X35" s="45"/>
      <c r="Y35" s="17"/>
      <c r="Z35" s="19"/>
      <c r="AA35" s="17"/>
      <c r="AB35" s="19"/>
      <c r="AC35" s="17"/>
      <c r="AD35" s="19"/>
      <c r="AE35" s="17"/>
    </row>
    <row r="36" spans="1:31" s="38" customFormat="1" ht="12.75">
      <c r="A36" s="13">
        <v>15</v>
      </c>
      <c r="B36" s="5" t="s">
        <v>34</v>
      </c>
      <c r="C36" s="16">
        <v>750</v>
      </c>
      <c r="D36" s="17">
        <f>'[1]JAN 05'!$AD$59*'[2]Jan 05'!$AX$35</f>
        <v>2.163454135170864</v>
      </c>
      <c r="E36" s="18">
        <f>SUM(D36/D38)</f>
        <v>0.00662031580204477</v>
      </c>
      <c r="F36" s="17">
        <f>305.96*'[2]Feb 05'!$AV$35</f>
        <v>1.6716315037404386</v>
      </c>
      <c r="G36" s="18">
        <f>SUM(F36/F38)</f>
        <v>0.005812740334456134</v>
      </c>
      <c r="H36" s="17">
        <f>375.75*'[2]March 05'!$AZ$35</f>
        <v>2.237904061281152</v>
      </c>
      <c r="I36" s="18">
        <f>SUM(H36/H38)</f>
        <v>0.006310316222666195</v>
      </c>
      <c r="J36" s="17">
        <f>336.92*'[2]April 05'!$AY$35</f>
        <v>9.39533472926166</v>
      </c>
      <c r="K36" s="18">
        <f>SUM(J36/J38)</f>
        <v>0.02891580933828453</v>
      </c>
      <c r="L36" s="17">
        <f>350.79*'[2]May 05'!$AX$35</f>
        <v>2.145497857765678</v>
      </c>
      <c r="M36" s="18">
        <f>SUM(L36/L38)</f>
        <v>0.005783638531489686</v>
      </c>
      <c r="N36" s="17">
        <f>418.62*'[2]June 05'!$AX$35</f>
        <v>2.2778735058857666</v>
      </c>
      <c r="O36" s="18">
        <f>SUM(N36/N38)</f>
        <v>0.005790052689479476</v>
      </c>
      <c r="P36" s="13">
        <v>15</v>
      </c>
      <c r="Q36" s="5" t="s">
        <v>34</v>
      </c>
      <c r="R36" s="17">
        <f>329.76*'[2]July 05'!$AW$35</f>
        <v>1.0550444365446143</v>
      </c>
      <c r="S36" s="18">
        <f>SUM(R36/R38)</f>
        <v>0.0035168155886107274</v>
      </c>
      <c r="T36" s="17">
        <f>350.54*'[2]Aug 05'!$AY$35</f>
        <v>1.8650065499808466</v>
      </c>
      <c r="U36" s="18">
        <f>SUM(T36/T38)</f>
        <v>0.005873842509404577</v>
      </c>
      <c r="V36" s="17">
        <f>322.6*'[4]Sept 05'!$AW$35</f>
        <v>37.22307692307693</v>
      </c>
      <c r="W36" s="18">
        <f>SUM(V36/V38)</f>
        <v>0.11081691953842944</v>
      </c>
      <c r="X36" s="43"/>
      <c r="Y36" s="17"/>
      <c r="Z36" s="18"/>
      <c r="AA36" s="17"/>
      <c r="AB36" s="18"/>
      <c r="AC36" s="17"/>
      <c r="AD36" s="18"/>
      <c r="AE36" s="17">
        <f t="shared" si="0"/>
        <v>60.034823702707946</v>
      </c>
    </row>
    <row r="37" spans="1:31" s="38" customFormat="1" ht="12.75">
      <c r="A37" s="13"/>
      <c r="B37" s="5"/>
      <c r="C37" s="16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3"/>
      <c r="Q37" s="5"/>
      <c r="R37" s="17"/>
      <c r="S37" s="18"/>
      <c r="T37" s="17"/>
      <c r="U37" s="18"/>
      <c r="V37" s="17"/>
      <c r="W37" s="18"/>
      <c r="X37" s="45"/>
      <c r="Y37" s="17"/>
      <c r="Z37" s="19"/>
      <c r="AA37" s="17"/>
      <c r="AB37" s="19"/>
      <c r="AC37" s="17"/>
      <c r="AD37" s="19"/>
      <c r="AE37" s="17"/>
    </row>
    <row r="38" spans="1:31" s="38" customFormat="1" ht="13.5" thickBot="1">
      <c r="A38" s="21"/>
      <c r="B38" s="22" t="s">
        <v>36</v>
      </c>
      <c r="C38" s="23"/>
      <c r="D38" s="24">
        <f aca="true" t="shared" si="1" ref="D38:W38">SUM(D5:D37)</f>
        <v>326.7901713242521</v>
      </c>
      <c r="E38" s="25">
        <f t="shared" si="1"/>
        <v>1.0000000000000002</v>
      </c>
      <c r="F38" s="24">
        <f t="shared" si="1"/>
        <v>287.5806259281052</v>
      </c>
      <c r="G38" s="25">
        <f t="shared" si="1"/>
        <v>0.9999999999999998</v>
      </c>
      <c r="H38" s="24">
        <f t="shared" si="1"/>
        <v>354.64214190134624</v>
      </c>
      <c r="I38" s="25">
        <f t="shared" si="1"/>
        <v>0.9999999999999998</v>
      </c>
      <c r="J38" s="24">
        <f t="shared" si="1"/>
        <v>324.9203444159606</v>
      </c>
      <c r="K38" s="25">
        <f t="shared" si="1"/>
        <v>0.9999999999999999</v>
      </c>
      <c r="L38" s="24">
        <f t="shared" si="1"/>
        <v>370.95988037362076</v>
      </c>
      <c r="M38" s="25">
        <f t="shared" si="1"/>
        <v>0.9999999999999999</v>
      </c>
      <c r="N38" s="24">
        <f t="shared" si="1"/>
        <v>393.4115332015307</v>
      </c>
      <c r="O38" s="25">
        <f t="shared" si="1"/>
        <v>1.0000000000000002</v>
      </c>
      <c r="P38" s="21"/>
      <c r="Q38" s="22" t="s">
        <v>36</v>
      </c>
      <c r="R38" s="24">
        <f t="shared" si="1"/>
        <v>299.9999317454675</v>
      </c>
      <c r="S38" s="25">
        <f t="shared" si="1"/>
        <v>0.9999999999999997</v>
      </c>
      <c r="T38" s="24">
        <f t="shared" si="1"/>
        <v>317.51047921267804</v>
      </c>
      <c r="U38" s="25">
        <f t="shared" si="1"/>
        <v>1</v>
      </c>
      <c r="V38" s="61">
        <f t="shared" si="1"/>
        <v>335.8970550536608</v>
      </c>
      <c r="W38" s="25">
        <f t="shared" si="1"/>
        <v>1</v>
      </c>
      <c r="X38" s="47"/>
      <c r="Y38" s="24"/>
      <c r="Z38" s="25"/>
      <c r="AA38" s="24"/>
      <c r="AB38" s="25"/>
      <c r="AC38" s="24"/>
      <c r="AD38" s="25"/>
      <c r="AE38" s="24">
        <f t="shared" si="0"/>
        <v>3011.7121631566224</v>
      </c>
    </row>
    <row r="39" spans="1:31" s="38" customFormat="1" ht="13.5" thickTop="1">
      <c r="A39" s="1"/>
      <c r="B39" s="1"/>
      <c r="C39" s="2"/>
      <c r="D39" s="48"/>
      <c r="E39" s="3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1"/>
      <c r="Q39" s="1"/>
      <c r="R39" s="49"/>
      <c r="S39" s="49"/>
      <c r="T39" s="49"/>
      <c r="U39" s="49"/>
      <c r="V39" s="1"/>
      <c r="W39" s="3"/>
      <c r="X39" s="39"/>
      <c r="Y39" s="1"/>
      <c r="Z39" s="3"/>
      <c r="AA39" s="1"/>
      <c r="AB39" s="3"/>
      <c r="AC39" s="1"/>
      <c r="AD39" s="3"/>
      <c r="AE39" s="1"/>
    </row>
    <row r="40" spans="1:31" s="38" customFormat="1" ht="12.75">
      <c r="A40" s="13">
        <v>16</v>
      </c>
      <c r="B40" s="5" t="s">
        <v>35</v>
      </c>
      <c r="C40" s="16">
        <v>1600</v>
      </c>
      <c r="D40" s="17">
        <f>'[1]JAN 05'!$AD$59*'[2]Jan 05'!$AX$37</f>
        <v>23.619828675747783</v>
      </c>
      <c r="E40" s="18">
        <f>SUM(D40/D38)</f>
        <v>0.07227827134467701</v>
      </c>
      <c r="F40" s="17">
        <f>305.96*'[2]Feb 05'!$AV$37</f>
        <v>18.379374071894876</v>
      </c>
      <c r="G40" s="18">
        <f>SUM(F40/F38)</f>
        <v>0.0639103347542254</v>
      </c>
      <c r="H40" s="17">
        <f>375.75*'[2]March 05'!$AZ$37</f>
        <v>21.2098972475619</v>
      </c>
      <c r="I40" s="18">
        <f>SUM(H40/H38)</f>
        <v>0.05980647740804034</v>
      </c>
      <c r="J40" s="17">
        <f>336.92*'[2]April 05'!$AY$37</f>
        <v>17.85676</v>
      </c>
      <c r="K40" s="18">
        <f>SUM(J40/J38)</f>
        <v>0.05495734664475153</v>
      </c>
      <c r="L40" s="17">
        <f>350.79*'[2]May 05'!$AX$37</f>
        <v>23.237392182569803</v>
      </c>
      <c r="M40" s="18">
        <f>SUM(L40/L38)</f>
        <v>0.06264125424874983</v>
      </c>
      <c r="N40" s="17">
        <f>418.62*'[2]June 05'!$AX$37</f>
        <v>25.20846679846915</v>
      </c>
      <c r="O40" s="18">
        <f>SUM(N40/N38)</f>
        <v>0.06407658309690618</v>
      </c>
      <c r="P40" s="13">
        <v>16</v>
      </c>
      <c r="Q40" s="5" t="s">
        <v>35</v>
      </c>
      <c r="R40" s="17">
        <f>329.76*'[2]July 05'!$AW$37</f>
        <v>29.760068254532527</v>
      </c>
      <c r="S40" s="18">
        <f>SUM(R40/R38)</f>
        <v>0.09920025008466407</v>
      </c>
      <c r="T40" s="17">
        <f>350.54*'[2]Aug 05'!$AY$37</f>
        <v>25.994046847733046</v>
      </c>
      <c r="U40" s="18">
        <f>SUM(T40/T38)</f>
        <v>0.08186831159774557</v>
      </c>
      <c r="V40" s="17">
        <f>322.6*'[4]Sept 05'!$AW$37</f>
        <v>22.064342934331904</v>
      </c>
      <c r="W40" s="18">
        <f>SUM(V40/V38)</f>
        <v>0.06568781298426997</v>
      </c>
      <c r="X40" s="43"/>
      <c r="Y40" s="17"/>
      <c r="Z40" s="18"/>
      <c r="AA40" s="17"/>
      <c r="AB40" s="18"/>
      <c r="AC40" s="17"/>
      <c r="AD40" s="18"/>
      <c r="AE40" s="17">
        <f>SUM(D40+F40+H40+J40+L40+N40+R40+T40+V40)</f>
        <v>207.330177012841</v>
      </c>
    </row>
    <row r="41" spans="1:31" s="38" customFormat="1" ht="12.75">
      <c r="A41" s="1"/>
      <c r="B41" s="1"/>
      <c r="C41" s="2"/>
      <c r="D41" s="48"/>
      <c r="E41" s="3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1"/>
      <c r="Q41" s="1"/>
      <c r="R41" s="49"/>
      <c r="S41" s="49"/>
      <c r="T41" s="49"/>
      <c r="U41" s="49"/>
      <c r="V41" s="1"/>
      <c r="W41" s="3"/>
      <c r="X41" s="39"/>
      <c r="Y41" s="1"/>
      <c r="Z41" s="3"/>
      <c r="AA41" s="1"/>
      <c r="AB41" s="3"/>
      <c r="AC41" s="1"/>
      <c r="AD41" s="3"/>
      <c r="AE41" s="1"/>
    </row>
    <row r="42" spans="1:31" s="38" customFormat="1" ht="12.75">
      <c r="A42" s="1"/>
      <c r="B42" s="1"/>
      <c r="C42" s="50" t="s"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1"/>
      <c r="Q42" s="1"/>
      <c r="R42" s="50"/>
      <c r="S42" s="50" t="s">
        <v>0</v>
      </c>
      <c r="T42" s="50"/>
      <c r="U42" s="50"/>
      <c r="V42" s="1"/>
      <c r="W42" s="3"/>
      <c r="X42" s="39"/>
      <c r="Y42" s="1"/>
      <c r="Z42" s="3"/>
      <c r="AA42" s="1"/>
      <c r="AB42" s="3"/>
      <c r="AC42" s="1"/>
      <c r="AD42" s="3"/>
      <c r="AE42" s="1"/>
    </row>
    <row r="43" spans="1:31" s="38" customFormat="1" ht="12.75">
      <c r="A43" s="5" t="s">
        <v>15</v>
      </c>
      <c r="B43" s="1"/>
      <c r="C43" s="2"/>
      <c r="D43" s="1"/>
      <c r="E43" s="3"/>
      <c r="F43" s="1"/>
      <c r="G43" s="3"/>
      <c r="H43" s="1" t="s">
        <v>0</v>
      </c>
      <c r="I43" s="3"/>
      <c r="J43" s="1"/>
      <c r="K43" s="3"/>
      <c r="L43" s="1" t="s">
        <v>0</v>
      </c>
      <c r="M43" s="3"/>
      <c r="N43" s="1"/>
      <c r="O43" s="3" t="s">
        <v>0</v>
      </c>
      <c r="P43" s="5" t="s">
        <v>15</v>
      </c>
      <c r="Q43" s="1"/>
      <c r="R43" s="1"/>
      <c r="S43" s="3"/>
      <c r="T43" s="4"/>
      <c r="U43" s="3"/>
      <c r="V43" s="1" t="s">
        <v>0</v>
      </c>
      <c r="W43" s="3"/>
      <c r="X43" s="39"/>
      <c r="Y43" s="1"/>
      <c r="Z43" s="3"/>
      <c r="AA43" s="1"/>
      <c r="AB43" s="3"/>
      <c r="AC43" s="1"/>
      <c r="AD43" s="3"/>
      <c r="AE43" s="1"/>
    </row>
    <row r="44" spans="1:31" s="38" customFormat="1" ht="12.75">
      <c r="A44" s="5"/>
      <c r="B44" s="5" t="s">
        <v>42</v>
      </c>
      <c r="C44" s="2"/>
      <c r="D44" s="1"/>
      <c r="E44" s="3"/>
      <c r="F44" s="1"/>
      <c r="G44" s="3"/>
      <c r="H44" s="1"/>
      <c r="I44" s="3"/>
      <c r="J44" s="1"/>
      <c r="K44" s="3"/>
      <c r="L44" s="1"/>
      <c r="M44" s="3"/>
      <c r="N44" s="1"/>
      <c r="O44" s="3"/>
      <c r="P44" s="5"/>
      <c r="Q44" s="5" t="s">
        <v>42</v>
      </c>
      <c r="R44" s="1"/>
      <c r="S44" s="3" t="s">
        <v>0</v>
      </c>
      <c r="T44" s="4"/>
      <c r="U44" s="3"/>
      <c r="V44" s="1"/>
      <c r="W44" s="3"/>
      <c r="X44" s="39"/>
      <c r="Y44" s="1"/>
      <c r="Z44" s="3"/>
      <c r="AA44" s="1"/>
      <c r="AB44" s="3"/>
      <c r="AC44" s="1"/>
      <c r="AD44" s="3"/>
      <c r="AE44" s="1"/>
    </row>
    <row r="45" spans="1:31" s="53" customFormat="1" ht="12.75" customHeight="1">
      <c r="A45" s="13">
        <v>1</v>
      </c>
      <c r="B45" s="5" t="s">
        <v>14</v>
      </c>
      <c r="C45" s="16">
        <f>+C5</f>
        <v>1420</v>
      </c>
      <c r="D45" s="17">
        <f>'[5]UVR'!D5</f>
        <v>68.66733735575693</v>
      </c>
      <c r="E45" s="18">
        <f>SUM(D45/D50)</f>
        <v>0.07658772018964029</v>
      </c>
      <c r="F45" s="17">
        <f>'[5]UVR'!F5</f>
        <v>51.95336384745749</v>
      </c>
      <c r="G45" s="18">
        <f>SUM(F45/F50)</f>
        <v>0.09783360431713323</v>
      </c>
      <c r="H45" s="17">
        <f>'[5]UVR'!H5</f>
        <v>280.9230278730788</v>
      </c>
      <c r="I45" s="18">
        <f>SUM(H45/H50)</f>
        <v>0.29270281258712844</v>
      </c>
      <c r="J45" s="17">
        <f>'[5]UVR'!J5</f>
        <v>24.997124126729418</v>
      </c>
      <c r="K45" s="18">
        <f>SUM(J45/J50)</f>
        <v>0.04240257786847667</v>
      </c>
      <c r="L45" s="17">
        <f>'[5]UVR'!L5</f>
        <v>25.074816482971926</v>
      </c>
      <c r="M45" s="18">
        <f>SUM(L45/L50)</f>
        <v>0.04211954974098579</v>
      </c>
      <c r="N45" s="17">
        <f>'[5]UVR'!N5</f>
        <v>98.51793771425471</v>
      </c>
      <c r="O45" s="18">
        <f>SUM(N45/N50)</f>
        <v>0.17946521027288714</v>
      </c>
      <c r="P45" s="13">
        <v>1</v>
      </c>
      <c r="Q45" s="5" t="s">
        <v>14</v>
      </c>
      <c r="R45" s="17">
        <f>'[5]UVR'!P5</f>
        <v>93.62257039933641</v>
      </c>
      <c r="S45" s="18">
        <f>SUM(R45/R50)</f>
        <v>0.18011491069499497</v>
      </c>
      <c r="T45" s="17">
        <f>'[5]UVR'!R5</f>
        <v>122.9934620786849</v>
      </c>
      <c r="U45" s="18">
        <f>SUM(T45/T50)</f>
        <v>0.2320337898394197</v>
      </c>
      <c r="V45" s="17">
        <f>'[5]TOTALS'!T5-V5</f>
        <v>318.27677404738085</v>
      </c>
      <c r="W45" s="18">
        <f>+V45/V$50</f>
        <v>0.3903687195526138</v>
      </c>
      <c r="X45" s="51">
        <f>SUM(D45:W45)</f>
        <v>1087.5600428207147</v>
      </c>
      <c r="Y45" s="46" t="e">
        <f>+#REF!-Y172</f>
        <v>#REF!</v>
      </c>
      <c r="Z45" s="52" t="e">
        <f>+Y45/Y$53</f>
        <v>#REF!</v>
      </c>
      <c r="AA45" s="46" t="e">
        <f>+#REF!-AA172</f>
        <v>#REF!</v>
      </c>
      <c r="AB45" s="52" t="e">
        <f>+AA45/AA$53</f>
        <v>#REF!</v>
      </c>
      <c r="AC45" s="46" t="e">
        <f>+#REF!-AC172</f>
        <v>#REF!</v>
      </c>
      <c r="AD45" s="52" t="e">
        <f>+AC45/AC$53</f>
        <v>#REF!</v>
      </c>
      <c r="AE45" s="17">
        <f>SUM(D45:V45)</f>
        <v>1087.169674101162</v>
      </c>
    </row>
    <row r="46" spans="1:31" s="53" customFormat="1" ht="12.75" customHeight="1">
      <c r="A46" s="13">
        <v>2</v>
      </c>
      <c r="B46" s="5" t="s">
        <v>12</v>
      </c>
      <c r="C46" s="16">
        <v>750</v>
      </c>
      <c r="D46" s="17">
        <f>'[5]TOTALS'!D32+'[5]TOTALS'!D33+'[5]TOTALS'!D34-D32-D33-D34+114</f>
        <v>292.8668302592139</v>
      </c>
      <c r="E46" s="18">
        <f>SUM(D46/D50)</f>
        <v>0.3266473364550674</v>
      </c>
      <c r="F46" s="17">
        <f>'[5]TOTALS'!F32+'[5]TOTALS'!F33+'[5]TOTALS'!F34-F32-F33-F34+48</f>
        <v>199.95465943795355</v>
      </c>
      <c r="G46" s="18">
        <f>SUM(F46/F50)</f>
        <v>0.37653548459840913</v>
      </c>
      <c r="H46" s="17">
        <f>'[5]TOTALS'!H32+'[5]TOTALS'!H33+'[5]TOTALS'!H34-H32-H33-H34+12</f>
        <v>431.44710871091564</v>
      </c>
      <c r="I46" s="18">
        <f>SUM(H46/H50)</f>
        <v>0.44953873364673247</v>
      </c>
      <c r="J46" s="17">
        <f>'[5]TOTALS'!J32+'[5]TOTALS'!J33+'[5]TOTALS'!J34-J32-J33-J34+126</f>
        <v>256.51700064577994</v>
      </c>
      <c r="K46" s="18">
        <f>SUM(J46/J50)</f>
        <v>0.43512933885222466</v>
      </c>
      <c r="L46" s="17">
        <f>'[5]TOTALS'!L32+'[5]TOTALS'!L33+'[5]TOTALS'!L34-L32-L33-L34+168</f>
        <v>332.0500774717244</v>
      </c>
      <c r="M46" s="18">
        <f>SUM(L46/L50)</f>
        <v>0.5577627961531089</v>
      </c>
      <c r="N46" s="17">
        <f>'[5]TOTALS'!N32+'[5]TOTALS'!N33+'[5]TOTALS'!N34-N32-N33-N34+180</f>
        <v>363.62490704296886</v>
      </c>
      <c r="O46" s="18">
        <f>SUM(N46/N50)</f>
        <v>0.6623973452652082</v>
      </c>
      <c r="P46" s="13">
        <v>2</v>
      </c>
      <c r="Q46" s="5" t="s">
        <v>12</v>
      </c>
      <c r="R46" s="17">
        <f>'[5]TOTALS'!P32+'[5]TOTALS'!P33+'[5]TOTALS'!P34-R32-R33-R34+156</f>
        <v>336.4409882687522</v>
      </c>
      <c r="S46" s="18">
        <f>SUM(R46/R50)</f>
        <v>0.647258863943685</v>
      </c>
      <c r="T46" s="17">
        <f>'[5]TOTALS'!R32+'[5]TOTALS'!R33+'[5]TOTALS'!R34-T32-T33-T34+0</f>
        <v>231.46530520073208</v>
      </c>
      <c r="U46" s="18">
        <f>SUM(T46/T50)</f>
        <v>0.43667176347718656</v>
      </c>
      <c r="V46" s="17">
        <f>'[5]TOTALS'!T32+'[5]TOTALS'!T33+'[5]TOTALS'!T34-V32-V33-V34+146.33</f>
        <v>385.67668325254135</v>
      </c>
      <c r="W46" s="18">
        <f>+V46/V$50</f>
        <v>0.47303518597364186</v>
      </c>
      <c r="X46" s="51">
        <f>SUM(D46:W46)</f>
        <v>2836.4085371389465</v>
      </c>
      <c r="Y46" s="46" t="e">
        <f>+#REF!</f>
        <v>#REF!</v>
      </c>
      <c r="Z46" s="52" t="e">
        <f>+Y46/Y$53</f>
        <v>#REF!</v>
      </c>
      <c r="AA46" s="46" t="e">
        <f>+#REF!</f>
        <v>#REF!</v>
      </c>
      <c r="AB46" s="52" t="e">
        <f>+AA46/AA$53</f>
        <v>#REF!</v>
      </c>
      <c r="AC46" s="46" t="e">
        <f>+#REF!</f>
        <v>#REF!</v>
      </c>
      <c r="AD46" s="52" t="e">
        <f>+AC46/AC$53</f>
        <v>#REF!</v>
      </c>
      <c r="AE46" s="17">
        <f>SUM(D46:V46)</f>
        <v>2835.935501952973</v>
      </c>
    </row>
    <row r="47" spans="1:31" s="53" customFormat="1" ht="17.25" customHeight="1">
      <c r="A47" s="13">
        <v>3</v>
      </c>
      <c r="B47" s="62" t="s">
        <v>37</v>
      </c>
      <c r="C47" s="16" t="s">
        <v>13</v>
      </c>
      <c r="D47" s="17">
        <f>'[6]CUSTOM ALLOY INDUSTRIAL'!$C$28+'[6]RECYCLE ZONE'!$C$8+'[6]TREX'!$C$7+'[6]RECYCLE ZONE'!$C$12</f>
        <v>534.12</v>
      </c>
      <c r="E47" s="18">
        <f>SUM(D47/D50)</f>
        <v>0.5957276731986334</v>
      </c>
      <c r="F47" s="17">
        <f>'[6]CUSTOM ALLOY INDUSTRIAL'!$C$51</f>
        <v>275.94</v>
      </c>
      <c r="G47" s="18">
        <f>SUM(F47/F50)</f>
        <v>0.5196238082780253</v>
      </c>
      <c r="H47" s="17">
        <f>+'[6]CAC HONG'!$C$7++'[6]CUSTOM ALLOY INDUSTRIAL'!$C$63+'[6]TALCO'!$C$8</f>
        <v>242.185</v>
      </c>
      <c r="I47" s="18">
        <f>SUM(H47/H50)</f>
        <v>0.2523404051391652</v>
      </c>
      <c r="J47" s="17">
        <f>'[6]ACN PLASTICS'!$C$8+'[6]CUSTOM ALLOY INDUSTRIAL'!$C$75+'[6]RECYCLE ZONE'!$C$15</f>
        <v>304.5048475</v>
      </c>
      <c r="K47" s="18">
        <f>SUM(J47/J50)</f>
        <v>0.5165310394102812</v>
      </c>
      <c r="L47" s="17">
        <f>'[6]ACN PLASTICS'!$C$10+'[6]CAC HONG'!$C$10+'[6]CUSTOM ALLOY INDUSTRIAL'!$C$86+'[6]TREX'!$C$10</f>
        <v>228.7</v>
      </c>
      <c r="M47" s="18">
        <f>SUM(L47/L50)</f>
        <v>0.38415998108320976</v>
      </c>
      <c r="N47" s="17">
        <f>'[6]ACN PLASTICS'!$C$14+'[6]CUSTOM ALLOY INDUSTRIAL'!$C$88</f>
        <v>83.31</v>
      </c>
      <c r="O47" s="18">
        <f>SUM(N47/N50)</f>
        <v>0.15176166914089706</v>
      </c>
      <c r="P47" s="13">
        <v>3</v>
      </c>
      <c r="Q47" s="5" t="s">
        <v>37</v>
      </c>
      <c r="R47" s="17">
        <f>'[6]ACN PLASTICS'!$C$16+'[6]CAC HONG'!$C$12+'[6]RECYCLE ZONE'!$C$17+'[6]TREX'!$C$12</f>
        <v>85.33</v>
      </c>
      <c r="S47" s="18">
        <f>SUM(R47/R50)</f>
        <v>0.16416132631317776</v>
      </c>
      <c r="T47" s="17">
        <f>'[6]CAC HONG'!$C$14+'[6]CUSTOM ALLOY INDUSTRIAL'!$C$92+'[6]CUSTOM ALLOY INDUSTRIAL'!$C$94+'[6]RECYCLE ZONE'!$C$20+'[6]RECYCLE ZONE'!$C$22</f>
        <v>172.40826375</v>
      </c>
      <c r="U47" s="18">
        <f>SUM(T47/T50)</f>
        <v>0.3252574743522049</v>
      </c>
      <c r="V47" s="17">
        <v>97.87</v>
      </c>
      <c r="W47" s="18">
        <f>+V47/V$50</f>
        <v>0.12003824877566091</v>
      </c>
      <c r="X47" s="51">
        <f>SUM(D47:W47)</f>
        <v>2030.3977128756912</v>
      </c>
      <c r="Y47" s="46" t="e">
        <f>+#REF!</f>
        <v>#REF!</v>
      </c>
      <c r="Z47" s="52" t="e">
        <f>+Y47/Y$53</f>
        <v>#REF!</v>
      </c>
      <c r="AA47" s="46" t="e">
        <f>+#REF!</f>
        <v>#REF!</v>
      </c>
      <c r="AB47" s="52" t="e">
        <f>+AA47/AA$53</f>
        <v>#REF!</v>
      </c>
      <c r="AC47" s="46" t="e">
        <f>+#REF!</f>
        <v>#REF!</v>
      </c>
      <c r="AD47" s="52" t="e">
        <f>+AC47/AC$53</f>
        <v>#REF!</v>
      </c>
      <c r="AE47" s="17">
        <f>SUM(D47:V47)</f>
        <v>2030.2776746269155</v>
      </c>
    </row>
    <row r="48" spans="1:31" s="53" customFormat="1" ht="12" customHeight="1">
      <c r="A48" s="13">
        <v>4</v>
      </c>
      <c r="B48" s="5" t="s">
        <v>41</v>
      </c>
      <c r="C48" s="16" t="s">
        <v>13</v>
      </c>
      <c r="D48" s="17">
        <v>0.93</v>
      </c>
      <c r="E48" s="18">
        <f>SUM(D48/D50)</f>
        <v>0.001037270156659045</v>
      </c>
      <c r="F48" s="17">
        <v>3.19</v>
      </c>
      <c r="G48" s="18">
        <f>SUM(F48/F50)</f>
        <v>0.006007102806432198</v>
      </c>
      <c r="H48" s="17">
        <v>5.2</v>
      </c>
      <c r="I48" s="18">
        <f>SUM(H48/H50)</f>
        <v>0.005418048626973838</v>
      </c>
      <c r="J48" s="17">
        <v>3.5</v>
      </c>
      <c r="K48" s="18">
        <f>SUM(J48/J50)</f>
        <v>0.0059370438690175015</v>
      </c>
      <c r="L48" s="17">
        <v>9.5</v>
      </c>
      <c r="M48" s="18">
        <f>SUM(L48/L50)</f>
        <v>0.01595767302269564</v>
      </c>
      <c r="N48" s="17">
        <v>3.5</v>
      </c>
      <c r="O48" s="18">
        <f>SUM(N48/N50)</f>
        <v>0.006375775321007559</v>
      </c>
      <c r="P48" s="13">
        <v>4</v>
      </c>
      <c r="Q48" s="5" t="s">
        <v>41</v>
      </c>
      <c r="R48" s="17">
        <v>4.4</v>
      </c>
      <c r="S48" s="18">
        <f>SUM(R48/R50)</f>
        <v>0.008464899048142297</v>
      </c>
      <c r="T48" s="17">
        <v>3.2</v>
      </c>
      <c r="U48" s="18">
        <f>SUM(T48/T50)</f>
        <v>0.006036972331188828</v>
      </c>
      <c r="V48" s="17">
        <v>13.5</v>
      </c>
      <c r="W48" s="18">
        <f>SUM(V48/V50)</f>
        <v>0.016557845698083398</v>
      </c>
      <c r="X48" s="51"/>
      <c r="Y48" s="46"/>
      <c r="Z48" s="52"/>
      <c r="AA48" s="46"/>
      <c r="AB48" s="52"/>
      <c r="AC48" s="46"/>
      <c r="AD48" s="52"/>
      <c r="AE48" s="17">
        <f>SUM(D48:V48)</f>
        <v>50.975234785182124</v>
      </c>
    </row>
    <row r="49" spans="1:31" s="38" customFormat="1" ht="12.75">
      <c r="A49" s="1"/>
      <c r="B49" s="1"/>
      <c r="C49" s="2"/>
      <c r="D49" s="1"/>
      <c r="E49" s="3" t="s">
        <v>0</v>
      </c>
      <c r="F49" s="1"/>
      <c r="G49" s="3"/>
      <c r="H49" s="1"/>
      <c r="I49" s="3"/>
      <c r="J49" s="1"/>
      <c r="K49" s="3"/>
      <c r="L49" s="1"/>
      <c r="M49" s="3"/>
      <c r="N49" s="1"/>
      <c r="O49" s="3"/>
      <c r="P49" s="1"/>
      <c r="Q49" s="1"/>
      <c r="R49" s="1"/>
      <c r="S49" s="3"/>
      <c r="T49" s="4"/>
      <c r="U49" s="36"/>
      <c r="V49" s="1"/>
      <c r="W49" s="3"/>
      <c r="X49" s="39"/>
      <c r="Y49" s="1"/>
      <c r="Z49" s="3"/>
      <c r="AA49" s="1"/>
      <c r="AB49" s="3"/>
      <c r="AC49" s="1"/>
      <c r="AD49" s="3"/>
      <c r="AE49" s="1"/>
    </row>
    <row r="50" spans="1:31" s="38" customFormat="1" ht="13.5" thickBot="1">
      <c r="A50" s="21"/>
      <c r="B50" s="22" t="s">
        <v>16</v>
      </c>
      <c r="C50" s="23"/>
      <c r="D50" s="24">
        <f>SUM(D45:D49)</f>
        <v>896.5841676149707</v>
      </c>
      <c r="E50" s="25"/>
      <c r="F50" s="24">
        <f>SUM(F45:F49)</f>
        <v>531.0380232854111</v>
      </c>
      <c r="G50" s="25"/>
      <c r="H50" s="24">
        <f>SUM(H45:H49)</f>
        <v>959.7551365839945</v>
      </c>
      <c r="I50" s="25"/>
      <c r="J50" s="24">
        <f>SUM(J45:J49)</f>
        <v>589.5189722725094</v>
      </c>
      <c r="K50" s="25"/>
      <c r="L50" s="24">
        <f>SUM(L45:L49)</f>
        <v>595.3248939546963</v>
      </c>
      <c r="M50" s="25"/>
      <c r="N50" s="24">
        <f>SUM(N45:N49)</f>
        <v>548.9528447572236</v>
      </c>
      <c r="O50" s="25"/>
      <c r="P50" s="21"/>
      <c r="Q50" s="22" t="s">
        <v>16</v>
      </c>
      <c r="R50" s="24">
        <f>SUM(R45:R49)</f>
        <v>519.7935586680886</v>
      </c>
      <c r="S50" s="25"/>
      <c r="T50" s="24">
        <f>SUM(T45:T49)</f>
        <v>530.067031029417</v>
      </c>
      <c r="U50" s="25"/>
      <c r="V50" s="61">
        <f>SUM(V45:V49)</f>
        <v>815.3234572999222</v>
      </c>
      <c r="W50" s="25"/>
      <c r="X50" s="47">
        <f>SUM(X45:X47)</f>
        <v>5954.366292835352</v>
      </c>
      <c r="Y50" s="24" t="e">
        <f>SUM(Y45:Y49)</f>
        <v>#REF!</v>
      </c>
      <c r="Z50" s="25"/>
      <c r="AA50" s="24" t="e">
        <f>SUM(AA45:AA49)</f>
        <v>#REF!</v>
      </c>
      <c r="AB50" s="25"/>
      <c r="AC50" s="24" t="e">
        <f>SUM(AC45:AC49)</f>
        <v>#REF!</v>
      </c>
      <c r="AD50" s="25"/>
      <c r="AE50" s="24">
        <f>SUM(AE45:AE49)</f>
        <v>6004.358085466232</v>
      </c>
    </row>
    <row r="51" spans="1:31" s="38" customFormat="1" ht="13.5" thickTop="1">
      <c r="A51" s="26"/>
      <c r="B51" s="27"/>
      <c r="C51" s="28"/>
      <c r="D51" s="20"/>
      <c r="E51" s="29"/>
      <c r="F51" s="20"/>
      <c r="G51" s="29"/>
      <c r="H51" s="20"/>
      <c r="I51" s="29"/>
      <c r="J51" s="20"/>
      <c r="K51" s="29"/>
      <c r="L51" s="20"/>
      <c r="M51" s="29"/>
      <c r="N51" s="20"/>
      <c r="O51" s="29"/>
      <c r="P51" s="26"/>
      <c r="Q51" s="27"/>
      <c r="R51" s="20"/>
      <c r="S51" s="29"/>
      <c r="T51" s="20"/>
      <c r="U51" s="29"/>
      <c r="V51" s="20"/>
      <c r="W51" s="29"/>
      <c r="X51" s="54"/>
      <c r="Y51" s="20"/>
      <c r="Z51" s="29"/>
      <c r="AA51" s="20"/>
      <c r="AB51" s="29"/>
      <c r="AC51" s="20"/>
      <c r="AD51" s="29"/>
      <c r="AE51" s="20"/>
    </row>
    <row r="52" spans="1:31" s="38" customFormat="1" ht="12.75">
      <c r="A52" s="1"/>
      <c r="B52" s="1"/>
      <c r="C52" s="2"/>
      <c r="D52" s="1"/>
      <c r="E52" s="3"/>
      <c r="F52" s="1"/>
      <c r="G52" s="3"/>
      <c r="H52" s="1"/>
      <c r="I52" s="3"/>
      <c r="J52" s="1"/>
      <c r="K52" s="3"/>
      <c r="L52" s="1"/>
      <c r="M52" s="3"/>
      <c r="N52" s="1"/>
      <c r="O52" s="3"/>
      <c r="P52" s="1"/>
      <c r="Q52" s="1"/>
      <c r="R52" s="1"/>
      <c r="S52" s="3"/>
      <c r="T52" s="1"/>
      <c r="U52" s="3"/>
      <c r="V52" s="1"/>
      <c r="W52" s="3"/>
      <c r="X52" s="39"/>
      <c r="Y52" s="1"/>
      <c r="Z52" s="3"/>
      <c r="AA52" s="1"/>
      <c r="AB52" s="3"/>
      <c r="AC52" s="1"/>
      <c r="AD52" s="3"/>
      <c r="AE52" s="1"/>
    </row>
    <row r="53" spans="1:31" s="38" customFormat="1" ht="13.5" thickBot="1">
      <c r="A53" s="21"/>
      <c r="B53" s="22" t="s">
        <v>18</v>
      </c>
      <c r="C53" s="23"/>
      <c r="D53" s="24">
        <f>+D50+D38</f>
        <v>1223.374338939223</v>
      </c>
      <c r="E53" s="25"/>
      <c r="F53" s="24">
        <f>+F50+F38</f>
        <v>818.6186492135163</v>
      </c>
      <c r="G53" s="25"/>
      <c r="H53" s="24">
        <f>+H50+H38</f>
        <v>1314.3972784853408</v>
      </c>
      <c r="I53" s="25"/>
      <c r="J53" s="24">
        <f>+J50+J38</f>
        <v>914.43931668847</v>
      </c>
      <c r="K53" s="25"/>
      <c r="L53" s="24">
        <f>+L50+L38</f>
        <v>966.2847743283171</v>
      </c>
      <c r="M53" s="25"/>
      <c r="N53" s="24">
        <f>+N50+N38</f>
        <v>942.3643779587543</v>
      </c>
      <c r="O53" s="25"/>
      <c r="P53" s="21"/>
      <c r="Q53" s="22" t="s">
        <v>18</v>
      </c>
      <c r="R53" s="24">
        <f>+R50+R38</f>
        <v>819.7934904135561</v>
      </c>
      <c r="S53" s="25"/>
      <c r="T53" s="24">
        <f>+T50+T38</f>
        <v>847.5775102420951</v>
      </c>
      <c r="U53" s="25"/>
      <c r="V53" s="61">
        <f>+V50+V38</f>
        <v>1151.220512353583</v>
      </c>
      <c r="W53" s="60"/>
      <c r="X53" s="47">
        <f>+X50+X38</f>
        <v>5954.366292835352</v>
      </c>
      <c r="Y53" s="24" t="e">
        <f>+Y50+Y38</f>
        <v>#REF!</v>
      </c>
      <c r="Z53" s="25"/>
      <c r="AA53" s="24" t="e">
        <f>+AA50+AA38</f>
        <v>#REF!</v>
      </c>
      <c r="AB53" s="25"/>
      <c r="AC53" s="24" t="e">
        <f>+AC50+AC38</f>
        <v>#REF!</v>
      </c>
      <c r="AD53" s="25"/>
      <c r="AE53" s="24">
        <f>+AE50+AE38</f>
        <v>9016.070248622855</v>
      </c>
    </row>
    <row r="54" spans="1:31" s="38" customFormat="1" ht="13.5" thickTop="1">
      <c r="A54" s="1"/>
      <c r="B54" s="1"/>
      <c r="C54" s="2"/>
      <c r="D54" s="30"/>
      <c r="E54" s="3"/>
      <c r="F54" s="30"/>
      <c r="G54" s="3"/>
      <c r="H54" s="30"/>
      <c r="I54" s="3"/>
      <c r="J54" s="30"/>
      <c r="K54" s="3"/>
      <c r="L54" s="30"/>
      <c r="M54" s="3"/>
      <c r="N54" s="30"/>
      <c r="O54" s="3"/>
      <c r="P54" s="1"/>
      <c r="Q54" s="1"/>
      <c r="R54" s="30"/>
      <c r="S54" s="3"/>
      <c r="T54" s="30"/>
      <c r="U54" s="3"/>
      <c r="V54" s="30"/>
      <c r="W54" s="3"/>
      <c r="X54" s="55"/>
      <c r="Y54" s="30"/>
      <c r="Z54" s="3"/>
      <c r="AA54" s="30"/>
      <c r="AB54" s="3"/>
      <c r="AC54" s="30"/>
      <c r="AD54" s="3"/>
      <c r="AE54" s="1"/>
    </row>
    <row r="55" spans="1:31" s="35" customFormat="1" ht="17.25" customHeight="1">
      <c r="A55" s="57"/>
      <c r="B55" s="5" t="s">
        <v>44</v>
      </c>
      <c r="C55" s="6"/>
      <c r="D55" s="31">
        <f>D40/D53</f>
        <v>0.019307114694124064</v>
      </c>
      <c r="E55" s="32"/>
      <c r="F55" s="31">
        <f>F40/F53</f>
        <v>0.022451692359504352</v>
      </c>
      <c r="G55" s="32" t="s">
        <v>0</v>
      </c>
      <c r="H55" s="31">
        <f>H40/H53</f>
        <v>0.016136595529171623</v>
      </c>
      <c r="I55" s="32"/>
      <c r="J55" s="31">
        <f>J40/J53</f>
        <v>0.019527550570185535</v>
      </c>
      <c r="K55" s="32"/>
      <c r="L55" s="31">
        <f>L40/L53</f>
        <v>0.024048182067985657</v>
      </c>
      <c r="M55" s="32"/>
      <c r="N55" s="31">
        <f>N40/N53</f>
        <v>0.02675023312433875</v>
      </c>
      <c r="O55" s="32"/>
      <c r="P55" s="57"/>
      <c r="Q55" s="5" t="s">
        <v>17</v>
      </c>
      <c r="R55" s="31">
        <f>R40/R53</f>
        <v>0.03630190847150988</v>
      </c>
      <c r="S55" s="32"/>
      <c r="T55" s="31">
        <f>T40/T53</f>
        <v>0.030668636830994158</v>
      </c>
      <c r="U55" s="32" t="s">
        <v>0</v>
      </c>
      <c r="V55" s="31">
        <f>V40/V53</f>
        <v>0.019166043948628947</v>
      </c>
      <c r="W55" s="32"/>
      <c r="X55" s="31" t="e">
        <f>+#REF!/X53</f>
        <v>#REF!</v>
      </c>
      <c r="Y55" s="56" t="e">
        <f>+#REF!/Y53</f>
        <v>#REF!</v>
      </c>
      <c r="Z55" s="33"/>
      <c r="AA55" s="56" t="e">
        <f>+#REF!/AA53</f>
        <v>#REF!</v>
      </c>
      <c r="AB55" s="33"/>
      <c r="AC55" s="56" t="e">
        <f>+#REF!/AC53</f>
        <v>#REF!</v>
      </c>
      <c r="AD55" s="33"/>
      <c r="AE55" s="31">
        <f>AE40/AE53</f>
        <v>0.02299562573223177</v>
      </c>
    </row>
    <row r="56" spans="1:31" s="35" customFormat="1" ht="17.25" customHeight="1">
      <c r="A56" s="58" t="s">
        <v>20</v>
      </c>
      <c r="B56" s="33" t="s">
        <v>21</v>
      </c>
      <c r="C56" s="33" t="s">
        <v>38</v>
      </c>
      <c r="D56" s="33"/>
      <c r="E56" s="32"/>
      <c r="F56" s="31"/>
      <c r="G56" s="32"/>
      <c r="H56" s="31"/>
      <c r="I56" s="32"/>
      <c r="J56" s="31"/>
      <c r="K56" s="32"/>
      <c r="L56" s="31"/>
      <c r="M56" s="32"/>
      <c r="N56" s="31"/>
      <c r="O56" s="32"/>
      <c r="P56" s="58" t="s">
        <v>20</v>
      </c>
      <c r="Q56" s="33" t="s">
        <v>21</v>
      </c>
      <c r="R56" s="33" t="s">
        <v>38</v>
      </c>
      <c r="S56" s="33"/>
      <c r="T56" s="32"/>
      <c r="U56" s="31"/>
      <c r="V56" s="31"/>
      <c r="W56" s="32"/>
      <c r="X56" s="31"/>
      <c r="Y56" s="56"/>
      <c r="Z56" s="33"/>
      <c r="AA56" s="56"/>
      <c r="AB56" s="33"/>
      <c r="AC56" s="56"/>
      <c r="AD56" s="33"/>
      <c r="AE56" s="56"/>
    </row>
    <row r="57" spans="1:31" s="35" customFormat="1" ht="12.75">
      <c r="A57" s="5"/>
      <c r="B57" s="33"/>
      <c r="C57" s="33"/>
      <c r="D57" s="34"/>
      <c r="E57" s="32"/>
      <c r="F57" s="31"/>
      <c r="G57" s="32" t="s">
        <v>0</v>
      </c>
      <c r="H57" s="31"/>
      <c r="I57" s="32"/>
      <c r="J57" s="31"/>
      <c r="K57" s="32"/>
      <c r="L57" s="31"/>
      <c r="M57" s="32"/>
      <c r="N57" s="31"/>
      <c r="O57" s="32"/>
      <c r="P57" s="5"/>
      <c r="Q57" s="33"/>
      <c r="R57" s="31"/>
      <c r="S57" s="32"/>
      <c r="T57" s="37"/>
      <c r="U57" s="32"/>
      <c r="V57" s="31"/>
      <c r="W57" s="32"/>
      <c r="X57" s="31"/>
      <c r="Y57" s="56"/>
      <c r="Z57" s="33"/>
      <c r="AA57" s="56"/>
      <c r="AB57" s="33"/>
      <c r="AC57" s="56"/>
      <c r="AD57" s="33"/>
      <c r="AE57" s="56"/>
    </row>
  </sheetData>
  <printOptions horizontalCentered="1" verticalCentered="1"/>
  <pageMargins left="0" right="0" top="0" bottom="0" header="0" footer="0"/>
  <pageSetup fitToWidth="2" horizontalDpi="600" verticalDpi="600" orientation="landscape" scale="78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jpahl</cp:lastModifiedBy>
  <cp:lastPrinted>2005-10-10T20:51:52Z</cp:lastPrinted>
  <dcterms:created xsi:type="dcterms:W3CDTF">2005-08-08T20:55:58Z</dcterms:created>
  <dcterms:modified xsi:type="dcterms:W3CDTF">2005-10-12T00:28:01Z</dcterms:modified>
  <cp:category/>
  <cp:version/>
  <cp:contentType/>
  <cp:contentStatus/>
</cp:coreProperties>
</file>