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<sst xmlns="http://schemas.openxmlformats.org/spreadsheetml/2006/main" count="21" uniqueCount="21">
  <si>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</si>
  <si>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</si>
  <si>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</si>
  <si>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</si>
  <si>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</si>
  <si>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</si>
  <si>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</si>
  <si>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</si>
  <si>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</si>
  <si>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</si>
  <si>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</si>
  <si>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</si>
  <si>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</si>
  <si>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Vallejo</t>
  </si>
  <si>
    <t>City of Napa</t>
  </si>
  <si>
    <t>CAC</t>
  </si>
  <si>
    <t>County of Napa</t>
  </si>
  <si>
    <t>Other</t>
  </si>
  <si>
    <t>Total</t>
  </si>
  <si>
    <t>Franchise Only</t>
  </si>
  <si>
    <t>Member Agency Franchise Hauler Input to Devlin Road Transfer Station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</si>
</sst>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9" fontId="0" fillId="0" borderId="0" xfId="2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0" fontId="3" fillId="0" borderId="0" xfId="21" applyNumberFormat="1" applyFont="1" applyAlignment="1">
      <alignment/>
    </xf>
    <xf numFmtId="10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>
      <selection activeCell="M1" sqref="M1"/>
    </sheetView>
  </sheetViews>
  <sheetFormatPr defaultColWidth="9.140625" defaultRowHeight="12.75"/>
  <cols>
    <col min="1" max="1" width="13.421875" style="0" customWidth="1"/>
    <col min="16" max="16" width="8.7109375" style="0" customWidth="1"/>
  </cols>
  <sheetData>
    <row r="1" ht="12.75">
      <c r="C1" s="7" t="s">
        <v>20</v>
      </c>
    </row>
    <row r="2" spans="2:16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s="1"/>
      <c r="P2" s="7" t="s">
        <v>19</v>
      </c>
    </row>
    <row r="3" spans="1:17" ht="12.75">
      <c r="A3" s="2" t="s">
        <v>13</v>
      </c>
      <c r="B3" s="3">
        <f>6199.99+588.26</f>
        <v>6788.25</v>
      </c>
      <c r="C3" s="3">
        <f>5193.83+500.38</f>
        <v>5694.21</v>
      </c>
      <c r="D3" s="3">
        <f>6273.52+292.98</f>
        <v>6566.5</v>
      </c>
      <c r="E3" s="3">
        <f>5397.94+456.83</f>
        <v>5854.7699999999995</v>
      </c>
      <c r="F3" s="4">
        <f>6406.03+511.92</f>
        <v>6917.95</v>
      </c>
      <c r="G3" s="4">
        <f>5996.37</f>
        <v>5996.37</v>
      </c>
      <c r="H3" s="3">
        <f>5589.13+489.75</f>
        <v>6078.88</v>
      </c>
      <c r="I3" s="3">
        <f>6090.46+677.44</f>
        <v>6767.9</v>
      </c>
      <c r="J3" s="3">
        <f>5345.85+505.18</f>
        <v>5851.030000000001</v>
      </c>
      <c r="K3" s="3">
        <f>5785.91+612.34</f>
        <v>6398.25</v>
      </c>
      <c r="L3" s="3">
        <f>5654.05+708.41</f>
        <v>6362.46</v>
      </c>
      <c r="M3" s="3">
        <f>5514.42+501.93</f>
        <v>6016.35</v>
      </c>
      <c r="N3" s="4">
        <f>SUM(B3:M3)</f>
        <v>75292.92000000001</v>
      </c>
      <c r="O3" s="1">
        <f>N3/N10</f>
        <v>0.27605645060315576</v>
      </c>
      <c r="P3" s="5"/>
      <c r="Q3" s="8">
        <f>N3/P10</f>
        <v>0.504275391598625</v>
      </c>
    </row>
    <row r="4" spans="1:17" ht="12.75">
      <c r="A4" s="2" t="s">
        <v>14</v>
      </c>
      <c r="B4" s="3">
        <f>5095.38+69.12</f>
        <v>5164.5</v>
      </c>
      <c r="C4" s="3">
        <f>3423.17+3.78</f>
        <v>3426.9500000000003</v>
      </c>
      <c r="D4" s="3">
        <f>4043.59+117.88</f>
        <v>4161.47</v>
      </c>
      <c r="E4" s="3">
        <f>3235.89+271.57</f>
        <v>3507.46</v>
      </c>
      <c r="F4" s="4">
        <f>3616.29+434.83</f>
        <v>4051.12</v>
      </c>
      <c r="G4" s="4">
        <f>3434.14+644.94</f>
        <v>4079.08</v>
      </c>
      <c r="H4" s="3">
        <f>3280.64+646.13</f>
        <v>3926.77</v>
      </c>
      <c r="I4" s="3">
        <f>3668.87+961.74</f>
        <v>4630.61</v>
      </c>
      <c r="J4" s="3">
        <f>3315.96+724.84</f>
        <v>4040.8</v>
      </c>
      <c r="K4" s="3">
        <f>3526.78+763.92</f>
        <v>4290.7</v>
      </c>
      <c r="L4" s="3">
        <f>3421.55+983.76</f>
        <v>4405.31</v>
      </c>
      <c r="M4" s="3">
        <f>3142.7+789.7</f>
        <v>3932.3999999999996</v>
      </c>
      <c r="N4" s="4">
        <f>SUM(B4:M4)</f>
        <v>49617.17</v>
      </c>
      <c r="O4" s="1">
        <f>N4/N10</f>
        <v>0.1819180321227199</v>
      </c>
      <c r="P4" s="5">
        <f>N15</f>
        <v>0</v>
      </c>
      <c r="Q4" s="8">
        <f>N4/P10</f>
        <v>0.3323116945360273</v>
      </c>
    </row>
    <row r="5" spans="1:17" ht="12.75">
      <c r="A5" s="2" t="s">
        <v>15</v>
      </c>
      <c r="B5" s="3">
        <f>958.8+21</f>
        <v>979.8</v>
      </c>
      <c r="C5" s="3">
        <f>869.45+23.95</f>
        <v>893.4000000000001</v>
      </c>
      <c r="D5" s="3">
        <f>981.72+19.63</f>
        <v>1001.35</v>
      </c>
      <c r="E5" s="3">
        <f>891.87+11.62</f>
        <v>903.49</v>
      </c>
      <c r="F5" s="4">
        <f>1066.9+40.7</f>
        <v>1107.6000000000001</v>
      </c>
      <c r="G5" s="4">
        <f>922.44+167.62</f>
        <v>1090.06</v>
      </c>
      <c r="H5" s="3">
        <f>629.91+278.43</f>
        <v>908.3399999999999</v>
      </c>
      <c r="I5" s="3">
        <f>803.35+262.82</f>
        <v>1066.17</v>
      </c>
      <c r="J5" s="3">
        <f>749.93+213.17</f>
        <v>963.0999999999999</v>
      </c>
      <c r="K5" s="3">
        <f>790.64+225.69</f>
        <v>1016.3299999999999</v>
      </c>
      <c r="L5" s="3">
        <f>805.65+199.85</f>
        <v>1005.5</v>
      </c>
      <c r="M5" s="3">
        <f>709.15+143.44</f>
        <v>852.5899999999999</v>
      </c>
      <c r="N5" s="4">
        <f>SUM(B5:M5)</f>
        <v>11787.730000000001</v>
      </c>
      <c r="O5" s="1">
        <f>N5/N10</f>
        <v>0.04321892290096249</v>
      </c>
      <c r="P5" s="5">
        <f>N16</f>
        <v>0</v>
      </c>
      <c r="Q5" s="8">
        <f>N5/P10</f>
        <v>0.07894848761090498</v>
      </c>
    </row>
    <row r="6" spans="1:17" ht="12.75">
      <c r="A6" s="2" t="s">
        <v>16</v>
      </c>
      <c r="B6" s="3">
        <f>1328+11.78</f>
        <v>1339.78</v>
      </c>
      <c r="C6" s="3">
        <f>875.25+29.17</f>
        <v>904.42</v>
      </c>
      <c r="D6" s="3">
        <f>865.68+53.3</f>
        <v>918.9799999999999</v>
      </c>
      <c r="E6" s="3">
        <f>659.33+363.38</f>
        <v>1022.71</v>
      </c>
      <c r="F6" s="4">
        <f>657.04+511.9</f>
        <v>1168.94</v>
      </c>
      <c r="G6" s="4">
        <f>726.7+590.46</f>
        <v>1317.16</v>
      </c>
      <c r="H6" s="3">
        <f>585.56+568.06</f>
        <v>1153.62</v>
      </c>
      <c r="I6" s="3">
        <f>586.95+757.35</f>
        <v>1344.3000000000002</v>
      </c>
      <c r="J6" s="3">
        <f>601.83+316.58</f>
        <v>918.4100000000001</v>
      </c>
      <c r="K6" s="3">
        <f>583.55+315.37</f>
        <v>898.92</v>
      </c>
      <c r="L6" s="3">
        <f>565.33+284.16</f>
        <v>849.49</v>
      </c>
      <c r="M6" s="3">
        <f>461.3+313.28</f>
        <v>774.5799999999999</v>
      </c>
      <c r="N6" s="4">
        <f>SUM(B6:M6)</f>
        <v>12611.31</v>
      </c>
      <c r="O6" s="1">
        <f>N6/N10</f>
        <v>0.046238523835389615</v>
      </c>
      <c r="P6" s="5">
        <f>N17</f>
        <v>0</v>
      </c>
      <c r="Q6" s="8">
        <f>N6/P10</f>
        <v>0.08446442625444271</v>
      </c>
    </row>
    <row r="7" spans="1:17" ht="12.75">
      <c r="A7" s="2"/>
      <c r="B7" s="3"/>
      <c r="C7" s="3"/>
      <c r="D7" s="3"/>
      <c r="E7" s="3"/>
      <c r="F7" s="4"/>
      <c r="G7" s="4"/>
      <c r="H7" s="3"/>
      <c r="I7" s="3"/>
      <c r="J7" s="3"/>
      <c r="K7" s="3"/>
      <c r="L7" s="3"/>
      <c r="M7" s="3"/>
      <c r="N7" s="4"/>
      <c r="O7" s="1"/>
      <c r="P7" s="5">
        <f>N18</f>
        <v>0</v>
      </c>
      <c r="Q7" s="8"/>
    </row>
    <row r="8" spans="1:17" ht="12.75">
      <c r="A8" s="2" t="s">
        <v>17</v>
      </c>
      <c r="B8" s="3">
        <f aca="true" t="shared" si="0" ref="B8:M8">B10-B3-B4-B5-B6</f>
        <v>8423.12</v>
      </c>
      <c r="C8" s="3">
        <f t="shared" si="0"/>
        <v>5527.350000000002</v>
      </c>
      <c r="D8" s="3">
        <f t="shared" si="0"/>
        <v>8646.22</v>
      </c>
      <c r="E8" s="3">
        <f t="shared" si="0"/>
        <v>9574.810000000001</v>
      </c>
      <c r="F8" s="3">
        <f t="shared" si="0"/>
        <v>12214.79</v>
      </c>
      <c r="G8" s="3">
        <f t="shared" si="0"/>
        <v>12800.800000000003</v>
      </c>
      <c r="H8" s="3">
        <f t="shared" si="0"/>
        <v>11807.470000000001</v>
      </c>
      <c r="I8" s="3">
        <f t="shared" si="0"/>
        <v>13841.220000000001</v>
      </c>
      <c r="J8" s="3">
        <f t="shared" si="0"/>
        <v>10988.599999999997</v>
      </c>
      <c r="K8" s="3">
        <f t="shared" si="0"/>
        <v>10699.52</v>
      </c>
      <c r="L8" s="3">
        <f t="shared" si="0"/>
        <v>10740.039999999999</v>
      </c>
      <c r="M8" s="3">
        <f t="shared" si="0"/>
        <v>8171.58</v>
      </c>
      <c r="N8" s="4">
        <f>SUM(B8:M8)</f>
        <v>123435.52</v>
      </c>
      <c r="O8" s="1">
        <f>N8/N10</f>
        <v>0.4525680705377722</v>
      </c>
      <c r="Q8" s="9"/>
    </row>
    <row r="9" spans="1:17" ht="12.75">
      <c r="A9" s="2"/>
      <c r="B9" s="3"/>
      <c r="C9" s="3"/>
      <c r="D9" s="3"/>
      <c r="E9" s="3"/>
      <c r="F9" s="4"/>
      <c r="G9" s="4"/>
      <c r="H9" s="3"/>
      <c r="I9" s="3"/>
      <c r="J9" s="3"/>
      <c r="K9" s="3"/>
      <c r="L9" s="3"/>
      <c r="M9" s="3"/>
      <c r="N9" s="4"/>
      <c r="O9" s="1"/>
      <c r="Q9" s="9"/>
    </row>
    <row r="10" spans="1:17" ht="12.75">
      <c r="A10" s="2" t="s">
        <v>18</v>
      </c>
      <c r="B10" s="3">
        <v>22695.45</v>
      </c>
      <c r="C10" s="3">
        <v>16446.33</v>
      </c>
      <c r="D10" s="3">
        <v>21294.52</v>
      </c>
      <c r="E10" s="3">
        <v>20863.24</v>
      </c>
      <c r="F10" s="4">
        <v>25460.4</v>
      </c>
      <c r="G10" s="4">
        <v>25283.47</v>
      </c>
      <c r="H10" s="3">
        <v>23875.08</v>
      </c>
      <c r="I10" s="3">
        <v>27650.2</v>
      </c>
      <c r="J10" s="3">
        <v>22761.94</v>
      </c>
      <c r="K10" s="3">
        <v>23303.72</v>
      </c>
      <c r="L10" s="3">
        <v>23362.8</v>
      </c>
      <c r="M10" s="3">
        <v>19747.5</v>
      </c>
      <c r="N10" s="4">
        <f>SUM(B10:M10)</f>
        <v>272744.65</v>
      </c>
      <c r="O10" s="1">
        <f>SUM(O3:O8)</f>
        <v>1</v>
      </c>
      <c r="P10" s="5">
        <f>SUM(N3:N6)</f>
        <v>149309.13</v>
      </c>
      <c r="Q10" s="9">
        <f>SUM(Q3:Q9)</f>
        <v>1</v>
      </c>
    </row>
    <row r="11" spans="2:15" ht="12.75">
      <c r="B11" s="2"/>
      <c r="C11" s="2"/>
      <c r="D11" s="2"/>
      <c r="E11" s="2"/>
      <c r="F11" s="6"/>
      <c r="O11" s="1"/>
    </row>
  </sheetData>
  <printOptions/>
  <pageMargins left="0.24" right="0.75" top="1" bottom="1" header="0.5" footer="0.5"/>
  <pageSetup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Napa County</cp:lastModifiedBy>
  <cp:lastPrinted>2007-04-16T18:22:11Z</cp:lastPrinted>
  <dcterms:created xsi:type="dcterms:W3CDTF">2007-04-16T18:20:30Z</dcterms:created>
  <dcterms:modified xsi:type="dcterms:W3CDTF">2007-04-16T18:31:25Z</dcterms:modified>
  <cp:category/>
  <cp:version/>
  <cp:contentType/>
  <cp:contentStatus/>
</cp:coreProperties>
</file>