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2"/>
  </bookViews>
  <sheets>
    <sheet name="CIP" sheetId="1" r:id="rId1"/>
    <sheet name="Sheet1" sheetId="2" r:id="rId2"/>
    <sheet name="Summary" sheetId="3" r:id="rId3"/>
    <sheet name="V expenses" sheetId="4" r:id="rId4"/>
    <sheet name="Detail Exp" sheetId="5" r:id="rId5"/>
    <sheet name="revenue" sheetId="6" r:id="rId6"/>
  </sheets>
  <definedNames/>
  <calcPr fullCalcOnLoad="1"/>
</workbook>
</file>

<file path=xl/comments3.xml><?xml version="1.0" encoding="utf-8"?>
<comments xmlns="http://schemas.openxmlformats.org/spreadsheetml/2006/main">
  <authors>
    <author>Napa County</author>
  </authors>
  <commentList>
    <comment ref="B2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8 mos @ 101121
4 months @ 101884
Or $1,216,504</t>
        </r>
      </text>
    </comment>
    <comment ref="B3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Includes last yr carry over</t>
        </r>
      </text>
    </comment>
    <comment ref="C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5% reduction to to decrease gas supply
</t>
        </r>
      </text>
    </comment>
    <comment ref="B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Landfil Power</t>
        </r>
      </text>
    </comment>
    <comment ref="C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Transfer Station Floor Repair</t>
        </r>
      </text>
    </comment>
    <comment ref="D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Road improvements and repairs</t>
        </r>
      </text>
    </comment>
    <comment ref="E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ACSL Leeve Repair</t>
        </r>
      </text>
    </comment>
    <comment ref="E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First year of five year option</t>
        </r>
      </text>
    </comment>
    <comment ref="C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Adjust +3% by contract</t>
        </r>
      </text>
    </comment>
  </commentList>
</comments>
</file>

<file path=xl/comments5.xml><?xml version="1.0" encoding="utf-8"?>
<comments xmlns="http://schemas.openxmlformats.org/spreadsheetml/2006/main">
  <authors>
    <author>Napa County</author>
  </authors>
  <commentList>
    <comment ref="E3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We paid an extra month 
52K</t>
        </r>
      </text>
    </comment>
    <comment ref="C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4ly Audits 36K
DEM 40K
CoCo
Colections  14.4k
Outside Audit 10K
Acct services 12K
Reduced DEM by A staffing
</t>
        </r>
      </text>
    </comment>
    <comment ref="C26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Shaw 50k misc
157k GW
56K Air
56K Air</t>
        </r>
      </text>
    </comment>
    <comment ref="C27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40K Northern per month
80K IR service Contract
Reduced by 15%</t>
        </r>
      </text>
    </comment>
    <comment ref="C3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State Increasing fees plus MT permits
</t>
        </r>
      </text>
    </comment>
  </commentList>
</comments>
</file>

<file path=xl/sharedStrings.xml><?xml version="1.0" encoding="utf-8"?>
<sst xmlns="http://schemas.openxmlformats.org/spreadsheetml/2006/main" count="159" uniqueCount="111">
  <si>
    <t>Operating Revenues</t>
  </si>
  <si>
    <t>Budget</t>
  </si>
  <si>
    <t>Estimate</t>
  </si>
  <si>
    <t>Final Budget</t>
  </si>
  <si>
    <t xml:space="preserve">  Transfer Station Tipping Fees</t>
  </si>
  <si>
    <t xml:space="preserve">  Gas Collection System Revenue</t>
  </si>
  <si>
    <t xml:space="preserve">  Interest Income on Unrestricted Reserves</t>
  </si>
  <si>
    <t xml:space="preserve">  Interest Income on Restricted Reserves</t>
  </si>
  <si>
    <t xml:space="preserve">  Other Revenues</t>
  </si>
  <si>
    <t>Total Operating Revenues</t>
  </si>
  <si>
    <t>Transfers from (to) Rate Stabilization</t>
  </si>
  <si>
    <t>Transfers from Landfill Closure Fund</t>
  </si>
  <si>
    <t>Gross Revenues</t>
  </si>
  <si>
    <t>Operating Expenses</t>
  </si>
  <si>
    <t xml:space="preserve">  Transfer Operations Contract</t>
  </si>
  <si>
    <t xml:space="preserve">  Disposal Contract</t>
  </si>
  <si>
    <t xml:space="preserve">  General and Administrative Expenses</t>
  </si>
  <si>
    <t xml:space="preserve">  Post-Closure Maintenance</t>
  </si>
  <si>
    <t>Total Operating Expenses</t>
  </si>
  <si>
    <t>Net Revenues after operational expenses</t>
  </si>
  <si>
    <t>Debt Service - 2004 Revenue Bonds</t>
  </si>
  <si>
    <t>Regulatory Fees</t>
  </si>
  <si>
    <t>Capitol Improvement</t>
  </si>
  <si>
    <t>Net Revenues</t>
  </si>
  <si>
    <t>Tons</t>
  </si>
  <si>
    <t>APPROPRIATIONS/ENCUMBERANCES/EXPENDITURES</t>
  </si>
  <si>
    <t xml:space="preserve"> </t>
  </si>
  <si>
    <t>over</t>
  </si>
  <si>
    <t>FY 2007-08</t>
  </si>
  <si>
    <t>ACCT #</t>
  </si>
  <si>
    <t>ACCOUNT/CLASS DESCRIPTION</t>
  </si>
  <si>
    <t xml:space="preserve">Current </t>
  </si>
  <si>
    <t>under</t>
  </si>
  <si>
    <t>S/W:EXTRA HELP</t>
  </si>
  <si>
    <t>E/B:MEDICARE</t>
  </si>
  <si>
    <t>E/B:FICA</t>
  </si>
  <si>
    <t>E/B:INS:WKCOMP</t>
  </si>
  <si>
    <t>E/B:UNENPLOYINS</t>
  </si>
  <si>
    <t>-</t>
  </si>
  <si>
    <t>=</t>
  </si>
  <si>
    <t>TOTAL ESTIMATE SALARY &amp; BENEFITS</t>
  </si>
  <si>
    <t>Directors Compensation</t>
  </si>
  <si>
    <t>HOUSEHOLD EXPENSE-EXP</t>
  </si>
  <si>
    <t>INSURANCE:E&amp;O LIABILITY-EXP</t>
  </si>
  <si>
    <t>Memberships</t>
  </si>
  <si>
    <t>OFFICE EXPENSE-EXP</t>
  </si>
  <si>
    <t>PSS:LEGAL EXPENSE-EXP</t>
  </si>
  <si>
    <t>PSS:ADMINISTRATION-EXP</t>
  </si>
  <si>
    <t>PUBLICTNS/LGL NOTICE-EXP</t>
  </si>
  <si>
    <t>SDE:OTHER-EXP</t>
  </si>
  <si>
    <t>TRANSPORTATION &amp; TRAV-EXP</t>
  </si>
  <si>
    <t>T/T:PRIVATE VEH MILE</t>
  </si>
  <si>
    <t>PSS:OTHER-EXP</t>
  </si>
  <si>
    <t>PSS:LANDFILL/QRRY OP-EXP</t>
  </si>
  <si>
    <t>PSS:LEACHATE DISPOSAL-EXP</t>
  </si>
  <si>
    <t>SDE:POST CLOSURE-EXP</t>
  </si>
  <si>
    <t>PROF/SPECIAL</t>
  </si>
  <si>
    <t>52189110</t>
  </si>
  <si>
    <t>PSS:TRANSFER STATION OP-EXP</t>
  </si>
  <si>
    <t>52189120</t>
  </si>
  <si>
    <t>PSS:TRANSFER STATION DISP-EXP</t>
  </si>
  <si>
    <t>52181400</t>
  </si>
  <si>
    <t>PSS:HOUSEHLD WASTECOLL</t>
  </si>
  <si>
    <t>5223230</t>
  </si>
  <si>
    <t>SDE:HOUSEHLD WASTECOLL</t>
  </si>
  <si>
    <t>52184000</t>
  </si>
  <si>
    <t>PSS:WATER</t>
  </si>
  <si>
    <t>SDE:STATE &amp; LOCAL FEE-EXP</t>
  </si>
  <si>
    <t>SDE:ST REGULATRY FEES-EXP</t>
  </si>
  <si>
    <t>TOTAL SERVICES &amp; SUPPLIES</t>
  </si>
  <si>
    <t>TOTAL OPERATIONS BUDGET</t>
  </si>
  <si>
    <t>FY 2008-09</t>
  </si>
  <si>
    <t xml:space="preserve">  General &amp; Ad</t>
  </si>
  <si>
    <t>Year End Reserve</t>
  </si>
  <si>
    <t>NAPA-VALLEJO WASTE MANAGEMENT AUTHORITY</t>
  </si>
  <si>
    <t>2009-10</t>
  </si>
  <si>
    <t>Estimated Revenues and Expendtitures for FY 2009-10</t>
  </si>
  <si>
    <t>FY 2009-10</t>
  </si>
  <si>
    <t>Disposal</t>
  </si>
  <si>
    <t>ADC</t>
  </si>
  <si>
    <t>MSW</t>
  </si>
  <si>
    <t>DRTS</t>
  </si>
  <si>
    <t>Transfer Station Floor</t>
  </si>
  <si>
    <t>Power Project</t>
  </si>
  <si>
    <t>Enterence roads</t>
  </si>
  <si>
    <t>Landfill Leeve</t>
  </si>
  <si>
    <t>In Bound Tons</t>
  </si>
  <si>
    <t>2010-11</t>
  </si>
  <si>
    <t>2011-12</t>
  </si>
  <si>
    <t>2012-13</t>
  </si>
  <si>
    <t>2013-14</t>
  </si>
  <si>
    <t>2014-05</t>
  </si>
  <si>
    <t>NA</t>
  </si>
  <si>
    <t xml:space="preserve">Debt Service Reserve </t>
  </si>
  <si>
    <t>Assumptions</t>
  </si>
  <si>
    <t>14% diversion</t>
  </si>
  <si>
    <t>FY'2008</t>
  </si>
  <si>
    <t>fy 09-10</t>
  </si>
  <si>
    <t>fy 10-11</t>
  </si>
  <si>
    <t>fy 11-12</t>
  </si>
  <si>
    <t xml:space="preserve">Capitol projects </t>
  </si>
  <si>
    <t xml:space="preserve">     Landfill permanent power-FY 2009-10</t>
  </si>
  <si>
    <t xml:space="preserve">     Transfer Station Floor Repair-FY 2010-11</t>
  </si>
  <si>
    <t xml:space="preserve">     Enterance road improvements and Repair-FY 2011-12</t>
  </si>
  <si>
    <t xml:space="preserve">     ACSL level elevation-FY 2012-13</t>
  </si>
  <si>
    <t>Inflation 0% 1st &amp; 2nd year, 3% after</t>
  </si>
  <si>
    <t>FY 2010-2011 Fee Increase</t>
  </si>
  <si>
    <t>Minium Reserve 1 months op expenses above/(below)</t>
  </si>
  <si>
    <t>Debt Service Coverage Ratio 1.25 minium</t>
  </si>
  <si>
    <t>FY 2010-2011 Tonnage increase/(decrease)</t>
  </si>
  <si>
    <t>Six Year Budget  SCENARIO #1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</si>
</sst>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&quot;$&quot;* #,##0_);_(&quot;$&quot;* \(#,##0\);_(&quot;$&quot;* &quot;-&quot;??_);_(@_)"/>
    <numFmt numFmtId="170" formatCode="_(* #,##0_);_(* \(#,##0\);_(* &quot;-&quot;?_);_(@_)"/>
    <numFmt numFmtId="171" formatCode="_(* #,##0.00_);_(* \(#,##0.00\);_(* &quot;-&quot;_);_(@_)"/>
    <numFmt numFmtId="172" formatCode="_(* #,##0.0_);_(* \(#,##0.0\);_(* &quot;-&quot;??_);_(@_)"/>
    <numFmt numFmtId="173" formatCode="_(* #,##0.0_);_(* \(#,##0.0\);_(* &quot;-&quot;?_);_(@_)"/>
    <numFmt numFmtId="174" formatCode="_(* #,##0.0_);_(* \(#,##0.0\);_(* &quot;-&quot;_);_(@_)"/>
    <numFmt numFmtId="175" formatCode="General_)"/>
    <numFmt numFmtId="176" formatCode="_(&quot;$&quot;* #,##0.0_);_(&quot;$&quot;* \(#,##0.0\);_(&quot;$&quot;* &quot;-&quot;??_);_(@_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_);_(* \(#,##0.000\);_(* &quot;-&quot;???_);_(@_)"/>
    <numFmt numFmtId="183" formatCode="#,##0.0_);[Red]\(#,##0.0\)"/>
    <numFmt numFmtId="184" formatCode="0.00_);[Red]\(0.00\)"/>
    <numFmt numFmtId="185" formatCode="0.0_);[Red]\(0.0\)"/>
    <numFmt numFmtId="186" formatCode="0_);[Red]\(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15" applyNumberFormat="1" applyFont="1" applyAlignment="1">
      <alignment horizontal="center"/>
    </xf>
    <xf numFmtId="169" fontId="0" fillId="0" borderId="0" xfId="17" applyNumberFormat="1" applyAlignment="1">
      <alignment/>
    </xf>
    <xf numFmtId="41" fontId="0" fillId="0" borderId="0" xfId="15" applyNumberFormat="1" applyAlignment="1">
      <alignment/>
    </xf>
    <xf numFmtId="168" fontId="0" fillId="0" borderId="0" xfId="15" applyNumberFormat="1" applyAlignment="1">
      <alignment/>
    </xf>
    <xf numFmtId="0" fontId="0" fillId="0" borderId="0" xfId="0" applyBorder="1" applyAlignment="1">
      <alignment/>
    </xf>
    <xf numFmtId="169" fontId="0" fillId="0" borderId="1" xfId="17" applyNumberFormat="1" applyBorder="1" applyAlignment="1">
      <alignment/>
    </xf>
    <xf numFmtId="0" fontId="0" fillId="0" borderId="0" xfId="0" applyFont="1" applyAlignment="1">
      <alignment/>
    </xf>
    <xf numFmtId="169" fontId="0" fillId="0" borderId="0" xfId="17" applyNumberFormat="1" applyFon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171" fontId="3" fillId="0" borderId="0" xfId="15" applyNumberFormat="1" applyFont="1" applyAlignment="1">
      <alignment/>
    </xf>
    <xf numFmtId="41" fontId="0" fillId="0" borderId="0" xfId="0" applyNumberFormat="1" applyAlignment="1">
      <alignment/>
    </xf>
    <xf numFmtId="1" fontId="0" fillId="0" borderId="0" xfId="0" applyNumberFormat="1" applyAlignment="1" applyProtection="1">
      <alignment horizontal="left"/>
      <protection/>
    </xf>
    <xf numFmtId="4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fill"/>
      <protection/>
    </xf>
    <xf numFmtId="175" fontId="0" fillId="0" borderId="0" xfId="0" applyNumberFormat="1" applyAlignment="1" applyProtection="1">
      <alignment horizontal="fill"/>
      <protection/>
    </xf>
    <xf numFmtId="41" fontId="3" fillId="0" borderId="0" xfId="0" applyNumberFormat="1" applyFont="1" applyAlignment="1">
      <alignment horizontal="center"/>
    </xf>
    <xf numFmtId="168" fontId="3" fillId="0" borderId="0" xfId="15" applyNumberFormat="1" applyFont="1" applyAlignment="1">
      <alignment horizontal="center"/>
    </xf>
    <xf numFmtId="175" fontId="0" fillId="0" borderId="0" xfId="0" applyNumberFormat="1" applyAlignment="1" applyProtection="1">
      <alignment horizontal="center"/>
      <protection/>
    </xf>
    <xf numFmtId="41" fontId="3" fillId="0" borderId="0" xfId="0" applyNumberFormat="1" applyFont="1" applyAlignment="1" applyProtection="1">
      <alignment horizontal="center"/>
      <protection/>
    </xf>
    <xf numFmtId="41" fontId="0" fillId="0" borderId="0" xfId="0" applyNumberFormat="1" applyAlignment="1" applyProtection="1">
      <alignment horizontal="center"/>
      <protection/>
    </xf>
    <xf numFmtId="41" fontId="0" fillId="0" borderId="0" xfId="0" applyNumberFormat="1" applyAlignment="1" applyProtection="1">
      <alignment horizontal="fill"/>
      <protection/>
    </xf>
    <xf numFmtId="168" fontId="0" fillId="0" borderId="0" xfId="15" applyNumberFormat="1" applyAlignment="1" applyProtection="1">
      <alignment horizontal="fill"/>
      <protection/>
    </xf>
    <xf numFmtId="41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 horizontal="left"/>
      <protection/>
    </xf>
    <xf numFmtId="168" fontId="0" fillId="0" borderId="0" xfId="15" applyNumberFormat="1" applyAlignment="1" applyProtection="1">
      <alignment/>
      <protection/>
    </xf>
    <xf numFmtId="41" fontId="0" fillId="0" borderId="0" xfId="15" applyNumberFormat="1" applyAlignment="1" applyProtection="1">
      <alignment horizontal="right"/>
      <protection/>
    </xf>
    <xf numFmtId="49" fontId="0" fillId="0" borderId="0" xfId="0" applyNumberFormat="1" applyAlignment="1">
      <alignment/>
    </xf>
    <xf numFmtId="41" fontId="0" fillId="0" borderId="0" xfId="15" applyNumberFormat="1" applyAlignment="1">
      <alignment/>
    </xf>
    <xf numFmtId="168" fontId="0" fillId="0" borderId="0" xfId="15" applyNumberFormat="1" applyBorder="1" applyAlignment="1">
      <alignment/>
    </xf>
    <xf numFmtId="1" fontId="0" fillId="0" borderId="0" xfId="0" applyNumberFormat="1" applyAlignment="1">
      <alignment/>
    </xf>
    <xf numFmtId="168" fontId="0" fillId="0" borderId="0" xfId="15" applyNumberFormat="1" applyFont="1" applyAlignment="1">
      <alignment/>
    </xf>
    <xf numFmtId="169" fontId="0" fillId="0" borderId="1" xfId="17" applyNumberFormat="1" applyFont="1" applyBorder="1" applyAlignment="1">
      <alignment/>
    </xf>
    <xf numFmtId="169" fontId="0" fillId="0" borderId="0" xfId="17" applyNumberFormat="1" applyBorder="1" applyAlignment="1">
      <alignment/>
    </xf>
    <xf numFmtId="169" fontId="0" fillId="0" borderId="0" xfId="17" applyNumberFormat="1" applyFont="1" applyAlignment="1">
      <alignment/>
    </xf>
    <xf numFmtId="169" fontId="0" fillId="0" borderId="0" xfId="17" applyNumberFormat="1" applyFill="1" applyAlignment="1">
      <alignment/>
    </xf>
    <xf numFmtId="169" fontId="0" fillId="0" borderId="0" xfId="17" applyNumberFormat="1" applyFill="1" applyBorder="1" applyAlignment="1">
      <alignment/>
    </xf>
    <xf numFmtId="44" fontId="0" fillId="0" borderId="0" xfId="17" applyAlignment="1">
      <alignment/>
    </xf>
    <xf numFmtId="0" fontId="3" fillId="0" borderId="0" xfId="0" applyFont="1" applyAlignment="1">
      <alignment/>
    </xf>
    <xf numFmtId="9" fontId="0" fillId="0" borderId="0" xfId="21" applyAlignment="1">
      <alignment/>
    </xf>
    <xf numFmtId="44" fontId="0" fillId="0" borderId="0" xfId="0" applyNumberFormat="1" applyAlignment="1">
      <alignment/>
    </xf>
    <xf numFmtId="43" fontId="0" fillId="0" borderId="0" xfId="15" applyAlignment="1">
      <alignment/>
    </xf>
    <xf numFmtId="169" fontId="0" fillId="0" borderId="0" xfId="0" applyNumberFormat="1" applyAlignment="1">
      <alignment/>
    </xf>
    <xf numFmtId="169" fontId="0" fillId="0" borderId="0" xfId="17" applyNumberFormat="1" applyFont="1" applyAlignment="1">
      <alignment/>
    </xf>
    <xf numFmtId="169" fontId="0" fillId="0" borderId="1" xfId="0" applyNumberFormat="1" applyBorder="1" applyAlignment="1">
      <alignment horizontal="center"/>
    </xf>
    <xf numFmtId="43" fontId="0" fillId="0" borderId="0" xfId="0" applyNumberFormat="1" applyAlignment="1">
      <alignment/>
    </xf>
    <xf numFmtId="44" fontId="0" fillId="0" borderId="0" xfId="17" applyFont="1" applyAlignment="1">
      <alignment/>
    </xf>
    <xf numFmtId="14" fontId="0" fillId="0" borderId="0" xfId="0" applyNumberFormat="1" applyAlignment="1">
      <alignment/>
    </xf>
    <xf numFmtId="169" fontId="0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center"/>
    </xf>
    <xf numFmtId="169" fontId="8" fillId="0" borderId="0" xfId="17" applyNumberFormat="1" applyFont="1" applyAlignment="1">
      <alignment/>
    </xf>
    <xf numFmtId="0" fontId="3" fillId="0" borderId="0" xfId="0" applyFont="1" applyAlignment="1">
      <alignment horizontal="right"/>
    </xf>
    <xf numFmtId="44" fontId="3" fillId="0" borderId="0" xfId="17" applyFont="1" applyAlignment="1">
      <alignment/>
    </xf>
    <xf numFmtId="38" fontId="7" fillId="0" borderId="0" xfId="17" applyNumberFormat="1" applyFont="1" applyAlignment="1">
      <alignment/>
    </xf>
    <xf numFmtId="186" fontId="3" fillId="0" borderId="0" xfId="15" applyNumberFormat="1" applyFont="1" applyAlignment="1">
      <alignment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G5" sqref="G5"/>
    </sheetView>
  </sheetViews>
  <sheetFormatPr defaultColWidth="9.140625" defaultRowHeight="12.75"/>
  <cols>
    <col min="2" max="2" width="12.7109375" style="0" customWidth="1"/>
    <col min="3" max="3" width="13.421875" style="41" customWidth="1"/>
    <col min="4" max="4" width="12.28125" style="0" bestFit="1" customWidth="1"/>
    <col min="5" max="5" width="16.8515625" style="0" customWidth="1"/>
    <col min="6" max="6" width="12.8515625" style="0" customWidth="1"/>
    <col min="7" max="7" width="12.28125" style="0" bestFit="1" customWidth="1"/>
  </cols>
  <sheetData>
    <row r="1" spans="3:6" ht="12.75">
      <c r="C1" s="50" t="s">
        <v>96</v>
      </c>
      <c r="D1" t="s">
        <v>97</v>
      </c>
      <c r="E1" t="s">
        <v>98</v>
      </c>
      <c r="F1" t="s">
        <v>99</v>
      </c>
    </row>
    <row r="2" spans="1:6" ht="12.75">
      <c r="A2" t="s">
        <v>82</v>
      </c>
      <c r="C2" s="41">
        <v>500000</v>
      </c>
      <c r="D2" s="44">
        <f>C2*1.03</f>
        <v>515000</v>
      </c>
      <c r="E2" s="44">
        <f>D2*1.03</f>
        <v>530450</v>
      </c>
      <c r="F2" s="44">
        <f>E2*1.03</f>
        <v>546363.5</v>
      </c>
    </row>
    <row r="3" spans="1:6" ht="12.75">
      <c r="A3" t="s">
        <v>83</v>
      </c>
      <c r="C3" s="41">
        <v>120000</v>
      </c>
      <c r="D3" s="44">
        <f aca="true" t="shared" si="0" ref="D3:E5">C3*1.03</f>
        <v>123600</v>
      </c>
      <c r="E3" s="44">
        <f t="shared" si="0"/>
        <v>127308</v>
      </c>
      <c r="F3" s="44">
        <f>E3*1.03</f>
        <v>131127.24</v>
      </c>
    </row>
    <row r="4" spans="1:6" ht="12.75">
      <c r="A4" t="s">
        <v>84</v>
      </c>
      <c r="C4" s="41">
        <v>250000</v>
      </c>
      <c r="D4" s="44">
        <f t="shared" si="0"/>
        <v>257500</v>
      </c>
      <c r="E4" s="44">
        <f t="shared" si="0"/>
        <v>265225</v>
      </c>
      <c r="F4" s="44">
        <f>E4*1.03</f>
        <v>273181.75</v>
      </c>
    </row>
    <row r="5" spans="1:7" ht="12.75">
      <c r="A5" t="s">
        <v>85</v>
      </c>
      <c r="C5" s="41">
        <v>100000</v>
      </c>
      <c r="D5" s="44">
        <f t="shared" si="0"/>
        <v>103000</v>
      </c>
      <c r="E5" s="44">
        <f t="shared" si="0"/>
        <v>106090</v>
      </c>
      <c r="F5" s="44">
        <f>E5*1.03</f>
        <v>109272.7</v>
      </c>
      <c r="G5" s="44">
        <f>F5*1.03</f>
        <v>112550.881</v>
      </c>
    </row>
    <row r="8" ht="12.75">
      <c r="C8" s="41">
        <f>SUM(C2:C5)</f>
        <v>970000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8.57421875" style="0" customWidth="1"/>
    <col min="2" max="3" width="14.7109375" style="0" customWidth="1"/>
    <col min="4" max="4" width="16.28125" style="0" customWidth="1"/>
    <col min="5" max="6" width="14.7109375" style="0" customWidth="1"/>
    <col min="7" max="7" width="13.421875" style="0" customWidth="1"/>
    <col min="8" max="8" width="4.8515625" style="0" customWidth="1"/>
    <col min="9" max="9" width="6.7109375" style="0" customWidth="1"/>
    <col min="11" max="11" width="11.28125" style="0" bestFit="1" customWidth="1"/>
    <col min="12" max="12" width="9.140625" style="43" customWidth="1"/>
  </cols>
  <sheetData>
    <row r="1" spans="1:8" ht="12.75">
      <c r="A1" s="42" t="s">
        <v>110</v>
      </c>
      <c r="B1" s="42"/>
      <c r="C1" s="42"/>
      <c r="D1" s="42" t="s">
        <v>74</v>
      </c>
      <c r="H1" s="51"/>
    </row>
    <row r="2" spans="1:2" ht="12.75">
      <c r="A2" s="55" t="s">
        <v>109</v>
      </c>
      <c r="B2" s="58">
        <f>C37-180000</f>
        <v>0</v>
      </c>
    </row>
    <row r="3" spans="1:2" ht="12.75">
      <c r="A3" s="55" t="s">
        <v>106</v>
      </c>
      <c r="B3" s="56">
        <f>I8-61</f>
        <v>0</v>
      </c>
    </row>
    <row r="4" ht="12.75"/>
    <row r="5" spans="1:6" ht="12.75">
      <c r="A5" s="59" t="s">
        <v>76</v>
      </c>
      <c r="B5" s="59"/>
      <c r="C5" s="59"/>
      <c r="D5" s="59"/>
      <c r="E5" s="59"/>
      <c r="F5" s="59"/>
    </row>
    <row r="6" spans="2:7" ht="12.75">
      <c r="B6" s="1" t="s">
        <v>75</v>
      </c>
      <c r="C6" s="1" t="s">
        <v>87</v>
      </c>
      <c r="D6" s="1" t="s">
        <v>88</v>
      </c>
      <c r="E6" s="1" t="s">
        <v>89</v>
      </c>
      <c r="F6" s="1" t="s">
        <v>90</v>
      </c>
      <c r="G6" s="1" t="s">
        <v>91</v>
      </c>
    </row>
    <row r="7" spans="1:6" ht="12.75">
      <c r="A7" t="s">
        <v>0</v>
      </c>
      <c r="B7" s="3" t="s">
        <v>2</v>
      </c>
      <c r="C7" s="3"/>
      <c r="D7" s="3"/>
      <c r="E7" s="2"/>
      <c r="F7" s="2"/>
    </row>
    <row r="8" spans="1:9" ht="12.75">
      <c r="A8" t="s">
        <v>4</v>
      </c>
      <c r="B8" s="4">
        <v>11081093</v>
      </c>
      <c r="C8" s="4">
        <f>C37*I8</f>
        <v>10980000</v>
      </c>
      <c r="D8" s="4">
        <f>D37*I8</f>
        <v>11254499.999999998</v>
      </c>
      <c r="E8" s="4">
        <f>E37*I8</f>
        <v>11535862.499999996</v>
      </c>
      <c r="F8" s="4">
        <f>F37*I8</f>
        <v>11824259.062499994</v>
      </c>
      <c r="G8" s="4">
        <f>G37*I8</f>
        <v>12119865.539062493</v>
      </c>
      <c r="I8">
        <v>61</v>
      </c>
    </row>
    <row r="9" spans="1:9" ht="12.75">
      <c r="A9" t="s">
        <v>5</v>
      </c>
      <c r="B9" s="4">
        <v>71224</v>
      </c>
      <c r="C9" s="4">
        <f>B9*0.95</f>
        <v>67662.8</v>
      </c>
      <c r="D9" s="4">
        <f>C9*0.95</f>
        <v>64279.659999999996</v>
      </c>
      <c r="E9" s="4">
        <f>D9*0.95</f>
        <v>61065.676999999996</v>
      </c>
      <c r="F9" s="4">
        <f>E9*0.95</f>
        <v>58012.393149999996</v>
      </c>
      <c r="G9" s="4">
        <f>F9*0.95</f>
        <v>55111.7734925</v>
      </c>
      <c r="I9" s="47"/>
    </row>
    <row r="10" spans="1:7" ht="12.75">
      <c r="A10" t="s">
        <v>6</v>
      </c>
      <c r="B10" s="4"/>
      <c r="C10" s="4"/>
      <c r="D10" s="4"/>
      <c r="E10" s="4"/>
      <c r="F10" s="4"/>
      <c r="G10" s="4"/>
    </row>
    <row r="11" spans="1:7" ht="12.75">
      <c r="A11" t="s">
        <v>7</v>
      </c>
      <c r="B11" s="4">
        <v>13173</v>
      </c>
      <c r="C11" s="4">
        <v>13173</v>
      </c>
      <c r="D11" s="4">
        <f>C11*1.025</f>
        <v>13502.324999999999</v>
      </c>
      <c r="E11" s="4">
        <f>D11*1.025</f>
        <v>13839.883124999998</v>
      </c>
      <c r="F11" s="4">
        <f>E11*1.025</f>
        <v>14185.880203124998</v>
      </c>
      <c r="G11" s="4">
        <f>F11*1.025</f>
        <v>14540.527208203122</v>
      </c>
    </row>
    <row r="12" spans="1:7" ht="12.75">
      <c r="A12" s="7" t="s">
        <v>8</v>
      </c>
      <c r="B12" s="36">
        <v>211582</v>
      </c>
      <c r="C12" s="36">
        <v>211582</v>
      </c>
      <c r="D12" s="36">
        <f>+C12*1.025</f>
        <v>216871.55</v>
      </c>
      <c r="E12" s="36">
        <f>+D12*1.025</f>
        <v>222293.33874999997</v>
      </c>
      <c r="F12" s="36">
        <f>+E12*1.025</f>
        <v>227850.67221874994</v>
      </c>
      <c r="G12" s="36">
        <f>+F12*1.025</f>
        <v>233546.93902421868</v>
      </c>
    </row>
    <row r="13" spans="1:7" ht="12.75">
      <c r="A13" t="s">
        <v>9</v>
      </c>
      <c r="B13" s="4">
        <f aca="true" t="shared" si="0" ref="B13:G13">SUM(B8:B12)</f>
        <v>11377072</v>
      </c>
      <c r="C13" s="4">
        <f t="shared" si="0"/>
        <v>11272417.8</v>
      </c>
      <c r="D13" s="4">
        <f t="shared" si="0"/>
        <v>11549153.534999998</v>
      </c>
      <c r="E13" s="4">
        <f t="shared" si="0"/>
        <v>11833061.398874994</v>
      </c>
      <c r="F13" s="37">
        <f t="shared" si="0"/>
        <v>12124308.008071868</v>
      </c>
      <c r="G13" s="37">
        <f t="shared" si="0"/>
        <v>12423064.778787415</v>
      </c>
    </row>
    <row r="14" spans="2:7" ht="12.75">
      <c r="B14" s="4"/>
      <c r="C14" s="4"/>
      <c r="D14" s="4"/>
      <c r="E14" s="4"/>
      <c r="F14" s="4"/>
      <c r="G14" s="4"/>
    </row>
    <row r="15" spans="1:7" ht="0.75" customHeight="1">
      <c r="A15" t="s">
        <v>10</v>
      </c>
      <c r="B15" s="4">
        <v>0</v>
      </c>
      <c r="C15" s="4"/>
      <c r="D15" s="4">
        <v>0</v>
      </c>
      <c r="E15" s="4">
        <v>0</v>
      </c>
      <c r="F15" s="39">
        <v>0</v>
      </c>
      <c r="G15" s="39">
        <v>0</v>
      </c>
    </row>
    <row r="16" spans="1:9" ht="12.75" hidden="1">
      <c r="A16" t="s">
        <v>11</v>
      </c>
      <c r="B16" s="4">
        <v>0</v>
      </c>
      <c r="C16" s="4"/>
      <c r="D16" s="4">
        <v>0</v>
      </c>
      <c r="E16" s="4">
        <v>0</v>
      </c>
      <c r="F16" s="40"/>
      <c r="G16" s="40"/>
      <c r="I16" s="41"/>
    </row>
    <row r="17" spans="2:7" ht="12.75" hidden="1">
      <c r="B17" s="8"/>
      <c r="C17" s="8"/>
      <c r="D17" s="8"/>
      <c r="E17" s="8"/>
      <c r="F17" s="8"/>
      <c r="G17" s="8"/>
    </row>
    <row r="18" spans="1:7" ht="12.75">
      <c r="A18" s="9" t="s">
        <v>12</v>
      </c>
      <c r="B18" s="10">
        <f aca="true" t="shared" si="1" ref="B18:G18">SUM(B13:B16)</f>
        <v>11377072</v>
      </c>
      <c r="C18" s="10">
        <f t="shared" si="1"/>
        <v>11272417.8</v>
      </c>
      <c r="D18" s="10">
        <f t="shared" si="1"/>
        <v>11549153.534999998</v>
      </c>
      <c r="E18" s="10">
        <f t="shared" si="1"/>
        <v>11833061.398874994</v>
      </c>
      <c r="F18" s="10">
        <f t="shared" si="1"/>
        <v>12124308.008071868</v>
      </c>
      <c r="G18" s="10">
        <f t="shared" si="1"/>
        <v>12423064.778787415</v>
      </c>
    </row>
    <row r="19" spans="5:6" ht="12.75">
      <c r="E19" s="4"/>
      <c r="F19" s="4"/>
    </row>
    <row r="20" spans="1:6" ht="12.75">
      <c r="A20" t="s">
        <v>13</v>
      </c>
      <c r="E20" s="4"/>
      <c r="F20" s="4"/>
    </row>
    <row r="21" spans="1:7" ht="12.75">
      <c r="A21" t="s">
        <v>14</v>
      </c>
      <c r="B21" s="11">
        <v>4076631</v>
      </c>
      <c r="C21" s="11">
        <f>B21*I35</f>
        <v>4076631</v>
      </c>
      <c r="D21" s="11">
        <f aca="true" t="shared" si="2" ref="D21:G22">C21*1.03</f>
        <v>4198929.93</v>
      </c>
      <c r="E21" s="11">
        <f t="shared" si="2"/>
        <v>4324897.8279</v>
      </c>
      <c r="F21" s="11">
        <f t="shared" si="2"/>
        <v>4454644.762737</v>
      </c>
      <c r="G21" s="11">
        <f t="shared" si="2"/>
        <v>4588284.10561911</v>
      </c>
    </row>
    <row r="22" spans="1:7" ht="12.75">
      <c r="A22" t="s">
        <v>15</v>
      </c>
      <c r="B22" s="4">
        <v>4287313</v>
      </c>
      <c r="C22" s="11">
        <f>(B22*I35)*1.03</f>
        <v>4415932.39</v>
      </c>
      <c r="D22" s="11">
        <f t="shared" si="2"/>
        <v>4548410.361699999</v>
      </c>
      <c r="E22" s="53">
        <f t="shared" si="2"/>
        <v>4684862.672551</v>
      </c>
      <c r="F22" s="52">
        <f t="shared" si="2"/>
        <v>4825408.55272753</v>
      </c>
      <c r="G22" s="11">
        <f t="shared" si="2"/>
        <v>4970170.809309356</v>
      </c>
    </row>
    <row r="23" spans="1:7" ht="12.75">
      <c r="A23" t="s">
        <v>16</v>
      </c>
      <c r="B23" s="12">
        <f>9791984-B21-B22-B24-B32</f>
        <v>1033905</v>
      </c>
      <c r="C23" s="11">
        <f>B23*1</f>
        <v>1033905</v>
      </c>
      <c r="D23" s="11">
        <f aca="true" t="shared" si="3" ref="D23:G24">C23*1.03</f>
        <v>1064922.1500000001</v>
      </c>
      <c r="E23" s="11">
        <f t="shared" si="3"/>
        <v>1096869.8145</v>
      </c>
      <c r="F23" s="11">
        <f t="shared" si="3"/>
        <v>1129775.9089350002</v>
      </c>
      <c r="G23" s="11">
        <f t="shared" si="3"/>
        <v>1163669.1862030502</v>
      </c>
    </row>
    <row r="24" spans="1:7" ht="12.75">
      <c r="A24" t="s">
        <v>17</v>
      </c>
      <c r="B24" s="13">
        <v>310635</v>
      </c>
      <c r="C24" s="48">
        <f>(B24*1)-20000</f>
        <v>290635</v>
      </c>
      <c r="D24" s="48">
        <f t="shared" si="3"/>
        <v>299354.05</v>
      </c>
      <c r="E24" s="48">
        <f t="shared" si="3"/>
        <v>308334.6715</v>
      </c>
      <c r="F24" s="48">
        <f t="shared" si="3"/>
        <v>317584.71164500003</v>
      </c>
      <c r="G24" s="48">
        <f t="shared" si="3"/>
        <v>327112.25299435004</v>
      </c>
    </row>
    <row r="25" spans="1:7" ht="12.75">
      <c r="A25" t="s">
        <v>18</v>
      </c>
      <c r="B25" s="37">
        <f aca="true" t="shared" si="4" ref="B25:G25">SUM(B21:B24)</f>
        <v>9708484</v>
      </c>
      <c r="C25" s="37">
        <f t="shared" si="4"/>
        <v>9817103.39</v>
      </c>
      <c r="D25" s="37">
        <f t="shared" si="4"/>
        <v>10111616.4917</v>
      </c>
      <c r="E25" s="37">
        <f t="shared" si="4"/>
        <v>10414964.986450998</v>
      </c>
      <c r="F25" s="37">
        <f t="shared" si="4"/>
        <v>10727413.93604453</v>
      </c>
      <c r="G25" s="37">
        <f t="shared" si="4"/>
        <v>11049236.354125865</v>
      </c>
    </row>
    <row r="26" spans="2:6" ht="12.75">
      <c r="B26" s="4"/>
      <c r="C26" s="4"/>
      <c r="D26" s="4"/>
      <c r="E26" s="4"/>
      <c r="F26" s="4"/>
    </row>
    <row r="27" spans="1:7" ht="12.75">
      <c r="A27" t="s">
        <v>19</v>
      </c>
      <c r="B27" s="4">
        <f aca="true" t="shared" si="5" ref="B27:G27">+B18-B25</f>
        <v>1668588</v>
      </c>
      <c r="C27" s="4">
        <f t="shared" si="5"/>
        <v>1455314.4100000001</v>
      </c>
      <c r="D27" s="4">
        <f t="shared" si="5"/>
        <v>1437537.043299999</v>
      </c>
      <c r="E27" s="4">
        <f t="shared" si="5"/>
        <v>1418096.4124239963</v>
      </c>
      <c r="F27" s="4">
        <f t="shared" si="5"/>
        <v>1396894.0720273387</v>
      </c>
      <c r="G27" s="4">
        <f t="shared" si="5"/>
        <v>1373828.4246615507</v>
      </c>
    </row>
    <row r="28" spans="2:6" ht="12.75">
      <c r="B28" s="4"/>
      <c r="C28" s="4"/>
      <c r="D28" s="4"/>
      <c r="E28" s="4"/>
      <c r="F28" s="4"/>
    </row>
    <row r="29" spans="1:7" ht="12.75">
      <c r="A29" t="s">
        <v>20</v>
      </c>
      <c r="B29" s="4">
        <v>1216504</v>
      </c>
      <c r="C29" s="4">
        <f>(101883.33*8)+(99300*4)</f>
        <v>1212266.6400000001</v>
      </c>
      <c r="D29" s="4">
        <f>(99300*8)+(99795*4)</f>
        <v>1193580</v>
      </c>
      <c r="E29" s="38">
        <f>(99795*8)+(99845*4)</f>
        <v>1197740</v>
      </c>
      <c r="F29" s="38">
        <f>99845*8</f>
        <v>798760</v>
      </c>
      <c r="G29" s="38">
        <v>0</v>
      </c>
    </row>
    <row r="30" spans="1:7" ht="12.75">
      <c r="A30" t="s">
        <v>108</v>
      </c>
      <c r="B30" s="14">
        <f>+B27/B29</f>
        <v>1.3716255762414262</v>
      </c>
      <c r="C30" s="14">
        <f>+C27/C29</f>
        <v>1.2004903558180897</v>
      </c>
      <c r="D30" s="14">
        <f>+D27/D29</f>
        <v>1.2043910280835797</v>
      </c>
      <c r="E30" s="14">
        <f>+E27/E29</f>
        <v>1.1839768333895473</v>
      </c>
      <c r="F30" s="14">
        <f>+F27/F29</f>
        <v>1.7488282738586542</v>
      </c>
      <c r="G30" s="14" t="s">
        <v>92</v>
      </c>
    </row>
    <row r="31" spans="2:6" ht="12.75">
      <c r="B31" s="14"/>
      <c r="C31" s="14"/>
      <c r="D31" s="14"/>
      <c r="E31" s="14"/>
      <c r="F31" s="14"/>
    </row>
    <row r="32" spans="1:7" ht="12.75">
      <c r="A32" t="s">
        <v>21</v>
      </c>
      <c r="B32" s="38">
        <v>83500</v>
      </c>
      <c r="C32" s="38">
        <f>(B32*1)*I35</f>
        <v>83500</v>
      </c>
      <c r="D32" s="38">
        <f>(C32*1.03)</f>
        <v>86005</v>
      </c>
      <c r="E32" s="38">
        <f>D32*1.03</f>
        <v>88585.15000000001</v>
      </c>
      <c r="F32" s="38">
        <f>E32*1.03</f>
        <v>91242.7045</v>
      </c>
      <c r="G32" s="38">
        <f>F32*1.03</f>
        <v>93979.985635</v>
      </c>
    </row>
    <row r="33" spans="1:7" ht="12.75">
      <c r="A33" t="s">
        <v>22</v>
      </c>
      <c r="B33" s="38">
        <f>CIP!$D$3</f>
        <v>123600</v>
      </c>
      <c r="C33" s="46">
        <f>CIP!$E$2</f>
        <v>530450</v>
      </c>
      <c r="D33" s="38">
        <f>CIP!$F$4</f>
        <v>273181.75</v>
      </c>
      <c r="E33" s="38">
        <f>CIP!$G$5</f>
        <v>112550.881</v>
      </c>
      <c r="F33" s="38">
        <v>0</v>
      </c>
      <c r="G33" s="4">
        <v>0</v>
      </c>
    </row>
    <row r="34" spans="2:7" ht="12.75">
      <c r="B34" s="4"/>
      <c r="C34" s="4"/>
      <c r="D34" s="4"/>
      <c r="E34" s="4"/>
      <c r="F34" s="4"/>
      <c r="G34" s="4"/>
    </row>
    <row r="35" spans="1:9" ht="12.75">
      <c r="A35" t="s">
        <v>23</v>
      </c>
      <c r="B35" s="4">
        <f aca="true" t="shared" si="6" ref="B35:G35">B27-B29-B32-B33</f>
        <v>244984</v>
      </c>
      <c r="C35" s="4">
        <f t="shared" si="6"/>
        <v>-370902.23</v>
      </c>
      <c r="D35" s="4">
        <f t="shared" si="6"/>
        <v>-115229.70670000091</v>
      </c>
      <c r="E35" s="4">
        <f t="shared" si="6"/>
        <v>19220.381423996238</v>
      </c>
      <c r="F35" s="4">
        <f t="shared" si="6"/>
        <v>506891.3675273387</v>
      </c>
      <c r="G35" s="4">
        <f t="shared" si="6"/>
        <v>1279848.4390265506</v>
      </c>
      <c r="I35" s="49">
        <f>C37/B37</f>
        <v>1</v>
      </c>
    </row>
    <row r="36" ht="12.75">
      <c r="A36" s="15"/>
    </row>
    <row r="37" spans="1:7" ht="12.75">
      <c r="A37" t="s">
        <v>86</v>
      </c>
      <c r="B37" s="6">
        <v>180000</v>
      </c>
      <c r="C37" s="6">
        <v>180000</v>
      </c>
      <c r="D37" s="6">
        <f>C37*1.025</f>
        <v>184499.99999999997</v>
      </c>
      <c r="E37" s="6">
        <f>D37*1.025</f>
        <v>189112.49999999994</v>
      </c>
      <c r="F37" s="6">
        <f>E37*1.025</f>
        <v>193840.3124999999</v>
      </c>
      <c r="G37" s="6">
        <f>F37*1.025</f>
        <v>198686.32031249988</v>
      </c>
    </row>
    <row r="38" ht="12.75"/>
    <row r="39" spans="1:7" ht="12.75">
      <c r="A39" t="s">
        <v>73</v>
      </c>
      <c r="B39" s="4">
        <f>B35+576109</f>
        <v>821093</v>
      </c>
      <c r="C39" s="4">
        <f>C35+B39</f>
        <v>450190.77</v>
      </c>
      <c r="D39" s="4">
        <f>D35+C39</f>
        <v>334961.0632999991</v>
      </c>
      <c r="E39" s="4">
        <f>E35+D39</f>
        <v>354181.44472399534</v>
      </c>
      <c r="F39" s="4">
        <f>F35+E39+E42</f>
        <v>1764072.812251334</v>
      </c>
      <c r="G39" s="4">
        <f>G35+F39</f>
        <v>3043921.2512778845</v>
      </c>
    </row>
    <row r="40" spans="1:11" ht="12.75">
      <c r="A40" t="s">
        <v>107</v>
      </c>
      <c r="B40" s="57">
        <f aca="true" t="shared" si="7" ref="B40:G40">B39-(B25/12)</f>
        <v>12052.666666666628</v>
      </c>
      <c r="C40" s="57">
        <f t="shared" si="7"/>
        <v>-367901.1791666667</v>
      </c>
      <c r="D40" s="57">
        <f t="shared" si="7"/>
        <v>-507673.64434166753</v>
      </c>
      <c r="E40" s="57">
        <f t="shared" si="7"/>
        <v>-513732.3041469212</v>
      </c>
      <c r="F40" s="57">
        <f t="shared" si="7"/>
        <v>870121.65091429</v>
      </c>
      <c r="G40" s="57">
        <f t="shared" si="7"/>
        <v>2123151.555100729</v>
      </c>
      <c r="K40" s="49"/>
    </row>
    <row r="41" spans="2:11" ht="12.75">
      <c r="B41" s="54"/>
      <c r="C41" s="54"/>
      <c r="D41" s="54"/>
      <c r="E41" s="54"/>
      <c r="F41" s="54"/>
      <c r="G41" s="54"/>
      <c r="K41" s="49"/>
    </row>
    <row r="42" spans="1:7" ht="12.75">
      <c r="A42" t="s">
        <v>93</v>
      </c>
      <c r="B42" s="4">
        <v>903000</v>
      </c>
      <c r="C42" s="4">
        <v>903000</v>
      </c>
      <c r="D42" s="4">
        <v>903000</v>
      </c>
      <c r="E42" s="4">
        <v>903000</v>
      </c>
      <c r="F42" s="4">
        <v>0</v>
      </c>
      <c r="G42" s="47">
        <v>0</v>
      </c>
    </row>
    <row r="43" ht="12.75">
      <c r="I43" s="41"/>
    </row>
    <row r="44" spans="1:9" ht="12.75">
      <c r="A44" s="42" t="s">
        <v>94</v>
      </c>
      <c r="I44" s="41"/>
    </row>
    <row r="45" ht="12.75">
      <c r="A45" t="s">
        <v>95</v>
      </c>
    </row>
    <row r="46" ht="12.75">
      <c r="A46" t="s">
        <v>105</v>
      </c>
    </row>
    <row r="47" ht="12.75">
      <c r="A47" t="s">
        <v>100</v>
      </c>
    </row>
    <row r="48" ht="12.75">
      <c r="A48" t="s">
        <v>101</v>
      </c>
    </row>
    <row r="49" ht="12.75">
      <c r="A49" t="s">
        <v>102</v>
      </c>
    </row>
    <row r="50" ht="12.75">
      <c r="A50" t="s">
        <v>103</v>
      </c>
    </row>
    <row r="51" ht="12.75">
      <c r="A51" t="s">
        <v>104</v>
      </c>
    </row>
  </sheetData>
  <mergeCells count="1">
    <mergeCell ref="A5:F5"/>
  </mergeCells>
  <printOptions/>
  <pageMargins left="0.75" right="0.75" top="1" bottom="1" header="0.5" footer="0.5"/>
  <pageSetup horizontalDpi="600" verticalDpi="600" orientation="landscape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B9" sqref="B9"/>
    </sheetView>
  </sheetViews>
  <sheetFormatPr defaultColWidth="9.140625" defaultRowHeight="12.75"/>
  <cols>
    <col min="2" max="2" width="11.28125" style="6" bestFit="1" customWidth="1"/>
    <col min="3" max="3" width="9.140625" style="41" customWidth="1"/>
    <col min="4" max="4" width="16.00390625" style="0" bestFit="1" customWidth="1"/>
    <col min="8" max="8" width="16.57421875" style="0" customWidth="1"/>
  </cols>
  <sheetData>
    <row r="2" spans="1:7" ht="12.75">
      <c r="A2" t="s">
        <v>24</v>
      </c>
      <c r="B2" s="6">
        <v>200000</v>
      </c>
      <c r="E2" t="s">
        <v>24</v>
      </c>
      <c r="F2" s="6">
        <v>242000</v>
      </c>
      <c r="G2" s="41"/>
    </row>
    <row r="3" spans="6:7" ht="12.75">
      <c r="F3" s="6"/>
      <c r="G3" s="41"/>
    </row>
    <row r="4" spans="6:7" ht="12.75">
      <c r="F4" s="6"/>
      <c r="G4" s="41"/>
    </row>
    <row r="5" spans="6:7" ht="12.75">
      <c r="F5" s="6"/>
      <c r="G5" s="41"/>
    </row>
    <row r="6" spans="6:7" ht="12.75">
      <c r="F6" s="6"/>
      <c r="G6" s="41"/>
    </row>
    <row r="7" spans="6:7" ht="12.75">
      <c r="F7" s="6"/>
      <c r="G7" s="41"/>
    </row>
    <row r="8" spans="6:7" ht="12.75">
      <c r="F8" s="6"/>
      <c r="G8" s="41"/>
    </row>
    <row r="9" spans="1:7" ht="12.75">
      <c r="A9" s="42" t="s">
        <v>78</v>
      </c>
      <c r="B9" s="6">
        <f>(B2*0.86)+B10</f>
        <v>185800</v>
      </c>
      <c r="E9" s="42" t="s">
        <v>78</v>
      </c>
      <c r="F9" s="6">
        <f>(F2*0.86)+F10</f>
        <v>221920</v>
      </c>
      <c r="G9" s="41"/>
    </row>
    <row r="10" spans="1:8" ht="12.75">
      <c r="A10" t="s">
        <v>79</v>
      </c>
      <c r="B10" s="6">
        <f>1150*12</f>
        <v>13800</v>
      </c>
      <c r="C10" s="41">
        <v>15.23</v>
      </c>
      <c r="D10" s="4">
        <f>B10*C10</f>
        <v>210174</v>
      </c>
      <c r="E10" t="s">
        <v>79</v>
      </c>
      <c r="F10" s="6">
        <f>1150*12</f>
        <v>13800</v>
      </c>
      <c r="G10" s="41">
        <f>15.23*1.03</f>
        <v>15.686900000000001</v>
      </c>
      <c r="H10" s="4">
        <f>F10*G10</f>
        <v>216479.22000000003</v>
      </c>
    </row>
    <row r="11" spans="1:8" ht="12.75">
      <c r="A11" t="s">
        <v>80</v>
      </c>
      <c r="B11" s="6">
        <f>B9-B10</f>
        <v>172000</v>
      </c>
      <c r="C11" s="41">
        <v>26.25</v>
      </c>
      <c r="D11" s="4">
        <f>B11*C11</f>
        <v>4515000</v>
      </c>
      <c r="E11" t="s">
        <v>80</v>
      </c>
      <c r="F11" s="6">
        <f>F9-F10</f>
        <v>208120</v>
      </c>
      <c r="G11" s="41">
        <f>26.25*1.03</f>
        <v>27.0375</v>
      </c>
      <c r="H11" s="4">
        <f>F11*G11</f>
        <v>5627044.5</v>
      </c>
    </row>
    <row r="12" spans="4:8" ht="12.75">
      <c r="D12" s="46">
        <f>SUM(D10:D11)</f>
        <v>4725174</v>
      </c>
      <c r="F12" s="6"/>
      <c r="G12" s="41"/>
      <c r="H12" s="46">
        <f>SUM(H10:H11)</f>
        <v>5843523.72</v>
      </c>
    </row>
    <row r="13" spans="1:7" ht="12.75">
      <c r="A13" t="s">
        <v>81</v>
      </c>
      <c r="E13" t="s">
        <v>81</v>
      </c>
      <c r="F13" s="6"/>
      <c r="G13" s="41"/>
    </row>
    <row r="14" spans="2:8" ht="12.75">
      <c r="B14" s="6">
        <f>B9</f>
        <v>185800</v>
      </c>
      <c r="C14" s="41">
        <v>9.02</v>
      </c>
      <c r="D14" s="4">
        <f>B14*C14</f>
        <v>1675916</v>
      </c>
      <c r="F14" s="6">
        <f>F9</f>
        <v>221920</v>
      </c>
      <c r="G14" s="41">
        <f>9.02*1.03</f>
        <v>9.2906</v>
      </c>
      <c r="H14" s="4">
        <f>F14*G14</f>
        <v>2061769.9519999998</v>
      </c>
    </row>
    <row r="15" spans="2:8" ht="12.75">
      <c r="B15" s="6">
        <f>B2</f>
        <v>200000</v>
      </c>
      <c r="C15" s="41">
        <v>13.45</v>
      </c>
      <c r="D15" s="4">
        <f>B15*C15</f>
        <v>2690000</v>
      </c>
      <c r="F15" s="6">
        <f>F2</f>
        <v>242000</v>
      </c>
      <c r="G15" s="41">
        <f>13.45*1.03</f>
        <v>13.8535</v>
      </c>
      <c r="H15" s="4">
        <f>F15*G15</f>
        <v>3352547</v>
      </c>
    </row>
    <row r="16" spans="4:8" ht="12.75">
      <c r="D16" s="46">
        <f>SUM(D14:D15)</f>
        <v>4365916</v>
      </c>
      <c r="F16" s="6"/>
      <c r="G16" s="41"/>
      <c r="H16" s="46">
        <f>SUM(H14:H15)</f>
        <v>5414316.952</v>
      </c>
    </row>
    <row r="21" spans="4:10" ht="12.75">
      <c r="D21" s="49">
        <f>D16/(B2*0.86)</f>
        <v>25.383232558139536</v>
      </c>
      <c r="H21" s="49">
        <f>H16/(F2*0.86)</f>
        <v>26.015361099365748</v>
      </c>
      <c r="J21">
        <f>H21/D21</f>
        <v>1.0249033900539792</v>
      </c>
    </row>
    <row r="22" ht="12.75">
      <c r="D22" t="s">
        <v>26</v>
      </c>
    </row>
    <row r="24" spans="4:8" ht="12.75">
      <c r="D24" s="41">
        <f>(B2*0.86)*(25.32*1)</f>
        <v>4355040</v>
      </c>
      <c r="H24" s="41">
        <f>(F2*0.86)*(25.32*1.03)</f>
        <v>5427686.352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C32" sqref="C32"/>
    </sheetView>
  </sheetViews>
  <sheetFormatPr defaultColWidth="9.140625" defaultRowHeight="12.75"/>
  <cols>
    <col min="1" max="1" width="11.421875" style="0" customWidth="1"/>
    <col min="2" max="2" width="35.7109375" style="0" customWidth="1"/>
    <col min="3" max="3" width="14.57421875" style="0" customWidth="1"/>
    <col min="4" max="4" width="15.7109375" style="0" customWidth="1"/>
    <col min="5" max="5" width="15.421875" style="0" customWidth="1"/>
    <col min="6" max="8" width="12.8515625" style="0" customWidth="1"/>
    <col min="9" max="9" width="15.57421875" style="0" customWidth="1"/>
    <col min="10" max="10" width="17.8515625" style="0" customWidth="1"/>
    <col min="11" max="11" width="13.140625" style="0" customWidth="1"/>
    <col min="12" max="12" width="13.7109375" style="0" customWidth="1"/>
    <col min="13" max="13" width="12.421875" style="0" customWidth="1"/>
  </cols>
  <sheetData>
    <row r="1" spans="1:6" ht="12.75">
      <c r="A1" s="16" t="s">
        <v>25</v>
      </c>
      <c r="D1" s="17"/>
      <c r="E1" s="15" t="s">
        <v>26</v>
      </c>
      <c r="F1" s="6"/>
    </row>
    <row r="2" spans="1:12" ht="12.75">
      <c r="A2" s="18" t="s">
        <v>26</v>
      </c>
      <c r="B2" s="19" t="s">
        <v>26</v>
      </c>
      <c r="C2" s="20" t="s">
        <v>77</v>
      </c>
      <c r="D2" s="20" t="s">
        <v>71</v>
      </c>
      <c r="E2" s="20" t="s">
        <v>71</v>
      </c>
      <c r="F2" s="21" t="s">
        <v>27</v>
      </c>
      <c r="H2" s="20" t="s">
        <v>77</v>
      </c>
      <c r="I2" s="20" t="s">
        <v>71</v>
      </c>
      <c r="J2" s="20" t="s">
        <v>28</v>
      </c>
      <c r="K2" s="21" t="s">
        <v>27</v>
      </c>
      <c r="L2" s="20" t="s">
        <v>71</v>
      </c>
    </row>
    <row r="3" spans="1:12" ht="12.75">
      <c r="A3" s="16" t="s">
        <v>29</v>
      </c>
      <c r="B3" s="22" t="s">
        <v>30</v>
      </c>
      <c r="C3" s="23" t="s">
        <v>1</v>
      </c>
      <c r="D3" s="23" t="s">
        <v>3</v>
      </c>
      <c r="E3" s="23" t="s">
        <v>2</v>
      </c>
      <c r="F3" s="21" t="s">
        <v>32</v>
      </c>
      <c r="H3" s="23" t="s">
        <v>1</v>
      </c>
      <c r="I3" s="23" t="s">
        <v>3</v>
      </c>
      <c r="J3" s="23" t="s">
        <v>31</v>
      </c>
      <c r="K3" s="21" t="s">
        <v>32</v>
      </c>
      <c r="L3" s="23" t="s">
        <v>1</v>
      </c>
    </row>
    <row r="4" spans="1:6" ht="12.75">
      <c r="A4" s="16">
        <v>51200100</v>
      </c>
      <c r="B4" s="22" t="s">
        <v>33</v>
      </c>
      <c r="C4" s="24">
        <f>46571*2</f>
        <v>93142</v>
      </c>
      <c r="D4" s="24"/>
      <c r="E4" s="24"/>
      <c r="F4" s="5">
        <f>D4-E4</f>
        <v>0</v>
      </c>
    </row>
    <row r="5" spans="1:6" ht="12.75">
      <c r="A5" s="16">
        <v>51300300</v>
      </c>
      <c r="B5" s="22" t="s">
        <v>34</v>
      </c>
      <c r="C5" s="24">
        <f>676*2</f>
        <v>1352</v>
      </c>
      <c r="D5" s="24"/>
      <c r="E5" s="24"/>
      <c r="F5" s="6">
        <f>D5-E5</f>
        <v>0</v>
      </c>
    </row>
    <row r="6" spans="1:6" ht="12.75">
      <c r="A6" s="16">
        <v>51300400</v>
      </c>
      <c r="B6" s="22" t="s">
        <v>35</v>
      </c>
      <c r="C6" s="24">
        <f>2*2888</f>
        <v>5776</v>
      </c>
      <c r="D6" s="24"/>
      <c r="E6" s="24"/>
      <c r="F6" s="6">
        <f>D6-E6</f>
        <v>0</v>
      </c>
    </row>
    <row r="7" spans="1:6" ht="12.75">
      <c r="A7" s="16">
        <v>51301200</v>
      </c>
      <c r="B7" s="22" t="s">
        <v>36</v>
      </c>
      <c r="C7" s="24">
        <f>2*4751</f>
        <v>9502</v>
      </c>
      <c r="D7" s="24"/>
      <c r="E7" s="24"/>
      <c r="F7" s="6">
        <f>D7-E7</f>
        <v>0</v>
      </c>
    </row>
    <row r="8" spans="1:6" ht="12.75">
      <c r="A8" s="16">
        <v>51301300</v>
      </c>
      <c r="B8" s="22" t="s">
        <v>37</v>
      </c>
      <c r="C8" s="24">
        <f>2*245</f>
        <v>490</v>
      </c>
      <c r="D8" s="24"/>
      <c r="E8" s="24"/>
      <c r="F8" s="6">
        <f>D8-E8</f>
        <v>0</v>
      </c>
    </row>
    <row r="9" spans="1:6" ht="12.75">
      <c r="A9" s="18" t="s">
        <v>38</v>
      </c>
      <c r="B9" s="19" t="s">
        <v>38</v>
      </c>
      <c r="D9" s="24" t="s">
        <v>38</v>
      </c>
      <c r="E9" s="25"/>
      <c r="F9" s="26"/>
    </row>
    <row r="10" spans="1:6" ht="12.75">
      <c r="A10" s="18" t="s">
        <v>39</v>
      </c>
      <c r="B10" s="19" t="s">
        <v>39</v>
      </c>
      <c r="C10" s="18" t="s">
        <v>39</v>
      </c>
      <c r="D10" s="18" t="s">
        <v>39</v>
      </c>
      <c r="E10" s="18" t="s">
        <v>39</v>
      </c>
      <c r="F10" s="18" t="s">
        <v>39</v>
      </c>
    </row>
    <row r="11" spans="1:6" ht="12.75">
      <c r="A11" s="16" t="s">
        <v>40</v>
      </c>
      <c r="C11" s="27">
        <f>SUM(C4:C8)</f>
        <v>110262</v>
      </c>
      <c r="D11" s="27">
        <v>75131</v>
      </c>
      <c r="E11" s="27">
        <v>71570</v>
      </c>
      <c r="F11" s="6">
        <f>D11-E11</f>
        <v>3561</v>
      </c>
    </row>
    <row r="12" spans="1:6" ht="12.75">
      <c r="A12" s="18" t="s">
        <v>39</v>
      </c>
      <c r="B12" s="19" t="s">
        <v>39</v>
      </c>
      <c r="C12" s="18" t="s">
        <v>39</v>
      </c>
      <c r="D12" s="18" t="s">
        <v>39</v>
      </c>
      <c r="E12" s="18" t="s">
        <v>39</v>
      </c>
      <c r="F12" s="18" t="s">
        <v>39</v>
      </c>
    </row>
    <row r="13" spans="1:6" ht="12.75">
      <c r="A13" s="18"/>
      <c r="B13" s="19"/>
      <c r="D13" s="24"/>
      <c r="E13" s="25"/>
      <c r="F13" s="26"/>
    </row>
    <row r="14" spans="1:6" ht="12.75">
      <c r="A14" s="18">
        <v>52185010</v>
      </c>
      <c r="B14" s="28" t="s">
        <v>41</v>
      </c>
      <c r="C14" s="24">
        <f>12*400</f>
        <v>4800</v>
      </c>
      <c r="D14" s="24">
        <v>4800</v>
      </c>
      <c r="E14" s="25">
        <v>4600</v>
      </c>
      <c r="F14" s="6">
        <f aca="true" t="shared" si="0" ref="F14:F24">D14-E14</f>
        <v>200</v>
      </c>
    </row>
    <row r="15" spans="1:6" ht="12.75">
      <c r="A15" s="16">
        <v>52090000</v>
      </c>
      <c r="B15" s="28" t="s">
        <v>42</v>
      </c>
      <c r="C15" s="24">
        <v>0</v>
      </c>
      <c r="D15" s="24">
        <v>0</v>
      </c>
      <c r="E15" s="27">
        <v>0</v>
      </c>
      <c r="F15" s="6">
        <f t="shared" si="0"/>
        <v>0</v>
      </c>
    </row>
    <row r="16" spans="1:8" ht="12.75">
      <c r="A16" s="16">
        <v>52100300</v>
      </c>
      <c r="B16" s="28" t="s">
        <v>43</v>
      </c>
      <c r="C16" s="24">
        <v>125000</v>
      </c>
      <c r="D16" s="24">
        <v>135000</v>
      </c>
      <c r="E16" s="27">
        <v>113911</v>
      </c>
      <c r="F16" s="6">
        <f t="shared" si="0"/>
        <v>21089</v>
      </c>
      <c r="H16">
        <f>400000*0.85</f>
        <v>340000</v>
      </c>
    </row>
    <row r="17" spans="1:6" ht="12.75">
      <c r="A17" s="16">
        <v>52150000</v>
      </c>
      <c r="B17" s="28" t="s">
        <v>44</v>
      </c>
      <c r="C17" s="24">
        <v>1000</v>
      </c>
      <c r="D17" s="24">
        <v>1000</v>
      </c>
      <c r="E17" s="27">
        <v>240</v>
      </c>
      <c r="F17" s="6">
        <f t="shared" si="0"/>
        <v>760</v>
      </c>
    </row>
    <row r="18" spans="1:6" ht="12.75">
      <c r="A18" s="16">
        <v>52170000</v>
      </c>
      <c r="B18" s="28" t="s">
        <v>45</v>
      </c>
      <c r="C18" s="24">
        <v>1000</v>
      </c>
      <c r="D18" s="24">
        <v>1000</v>
      </c>
      <c r="E18" s="27">
        <v>921</v>
      </c>
      <c r="F18" s="6">
        <f t="shared" si="0"/>
        <v>79</v>
      </c>
    </row>
    <row r="19" spans="1:6" ht="12.75">
      <c r="A19" s="16">
        <v>52180500</v>
      </c>
      <c r="B19" s="28" t="s">
        <v>46</v>
      </c>
      <c r="C19" s="24">
        <v>0</v>
      </c>
      <c r="D19" s="24">
        <v>0</v>
      </c>
      <c r="E19" s="27">
        <v>0</v>
      </c>
      <c r="F19" s="6">
        <f t="shared" si="0"/>
        <v>0</v>
      </c>
    </row>
    <row r="20" spans="1:6" ht="12.75">
      <c r="A20" s="16">
        <v>52186300</v>
      </c>
      <c r="B20" s="28" t="s">
        <v>47</v>
      </c>
      <c r="C20" s="24">
        <v>90000</v>
      </c>
      <c r="D20" s="24">
        <v>125000</v>
      </c>
      <c r="E20" s="27">
        <v>101931</v>
      </c>
      <c r="F20" s="6">
        <f t="shared" si="0"/>
        <v>23069</v>
      </c>
    </row>
    <row r="21" spans="1:6" ht="12.75">
      <c r="A21" s="16">
        <v>52190000</v>
      </c>
      <c r="B21" s="28" t="s">
        <v>48</v>
      </c>
      <c r="C21" s="24">
        <v>750</v>
      </c>
      <c r="D21" s="24">
        <v>750</v>
      </c>
      <c r="E21" s="27">
        <v>607</v>
      </c>
      <c r="F21" s="6">
        <f t="shared" si="0"/>
        <v>143</v>
      </c>
    </row>
    <row r="22" spans="1:6" ht="12.75">
      <c r="A22" s="16">
        <v>52235000</v>
      </c>
      <c r="B22" s="28" t="s">
        <v>49</v>
      </c>
      <c r="C22" s="24">
        <v>1000</v>
      </c>
      <c r="D22" s="24">
        <v>1000</v>
      </c>
      <c r="E22" s="27">
        <v>1000</v>
      </c>
      <c r="F22" s="35" t="s">
        <v>26</v>
      </c>
    </row>
    <row r="23" spans="1:6" ht="12.75">
      <c r="A23" s="16">
        <v>52250000</v>
      </c>
      <c r="B23" s="28" t="s">
        <v>50</v>
      </c>
      <c r="C23" s="24">
        <v>8000</v>
      </c>
      <c r="D23" s="24">
        <v>10000</v>
      </c>
      <c r="E23" s="27">
        <v>5000</v>
      </c>
      <c r="F23" s="6">
        <f t="shared" si="0"/>
        <v>5000</v>
      </c>
    </row>
    <row r="24" spans="1:12" ht="12.75">
      <c r="A24" s="16">
        <v>52251200</v>
      </c>
      <c r="B24" s="28" t="s">
        <v>51</v>
      </c>
      <c r="C24" s="24">
        <v>2000</v>
      </c>
      <c r="D24" s="24">
        <v>1000</v>
      </c>
      <c r="E24" s="27">
        <v>461</v>
      </c>
      <c r="F24" s="6">
        <f t="shared" si="0"/>
        <v>539</v>
      </c>
      <c r="G24" t="s">
        <v>72</v>
      </c>
      <c r="H24" s="15">
        <f>SUM(C14:C24)+C11</f>
        <v>343812</v>
      </c>
      <c r="I24" s="15">
        <f>SUM(D14:D24)+D11</f>
        <v>354681</v>
      </c>
      <c r="J24" s="15">
        <f>SUM(E14:E24)+E11</f>
        <v>300241</v>
      </c>
      <c r="K24" s="6">
        <f>I24-J24</f>
        <v>54440</v>
      </c>
      <c r="L24" s="15" t="e">
        <f>SUM(#REF!)+#REF!</f>
        <v>#REF!</v>
      </c>
    </row>
    <row r="25" spans="1:6" ht="12.75">
      <c r="A25" s="16"/>
      <c r="D25" s="24"/>
      <c r="E25" s="27"/>
      <c r="F25" s="29"/>
    </row>
    <row r="26" spans="1:6" ht="12.75">
      <c r="A26" s="16">
        <v>52185000</v>
      </c>
      <c r="B26" s="28" t="s">
        <v>52</v>
      </c>
      <c r="C26" s="24">
        <v>320000</v>
      </c>
      <c r="D26" s="24">
        <v>320000</v>
      </c>
      <c r="E26" s="27">
        <v>319834</v>
      </c>
      <c r="F26" s="6">
        <f>D26-E26</f>
        <v>166</v>
      </c>
    </row>
    <row r="27" spans="1:6" ht="12.75">
      <c r="A27" s="16">
        <v>52189130</v>
      </c>
      <c r="B27" s="28" t="s">
        <v>53</v>
      </c>
      <c r="C27" s="24">
        <v>420000</v>
      </c>
      <c r="D27" s="24">
        <v>560000</v>
      </c>
      <c r="E27" s="30">
        <v>417611</v>
      </c>
      <c r="F27" s="6">
        <f>D27-E27</f>
        <v>142389</v>
      </c>
    </row>
    <row r="28" spans="1:6" ht="12.75">
      <c r="A28" s="16">
        <v>52189140</v>
      </c>
      <c r="B28" s="28" t="s">
        <v>54</v>
      </c>
      <c r="C28" s="24">
        <v>4000</v>
      </c>
      <c r="D28" s="24">
        <v>5000</v>
      </c>
      <c r="E28" s="27">
        <v>3152</v>
      </c>
      <c r="F28" s="6">
        <f>D28-E28</f>
        <v>1848</v>
      </c>
    </row>
    <row r="29" spans="1:12" ht="12.75">
      <c r="A29" s="16">
        <v>52237300</v>
      </c>
      <c r="B29" s="28" t="s">
        <v>55</v>
      </c>
      <c r="C29" s="24">
        <v>100</v>
      </c>
      <c r="D29" s="24">
        <v>100</v>
      </c>
      <c r="E29" s="27">
        <v>201</v>
      </c>
      <c r="F29" s="6">
        <f>D29-E29</f>
        <v>-101</v>
      </c>
      <c r="G29" t="s">
        <v>17</v>
      </c>
      <c r="H29" s="15">
        <f>SUM(C19:C29)+C16</f>
        <v>970850</v>
      </c>
      <c r="I29" s="15">
        <f>SUM(D26:D29)</f>
        <v>885100</v>
      </c>
      <c r="J29" s="15">
        <f>SUM(E26:E29)</f>
        <v>740798</v>
      </c>
      <c r="K29" s="6">
        <f>I29-J29</f>
        <v>144302</v>
      </c>
      <c r="L29" s="15" t="e">
        <f>SUM(#REF!)</f>
        <v>#REF!</v>
      </c>
    </row>
    <row r="30" spans="1:6" ht="12.75">
      <c r="A30" s="16"/>
      <c r="B30" s="28"/>
      <c r="D30" s="24"/>
      <c r="E30" s="27"/>
      <c r="F30" s="29"/>
    </row>
    <row r="31" spans="1:6" ht="12.75">
      <c r="A31" s="16">
        <v>52180000</v>
      </c>
      <c r="B31" s="28" t="s">
        <v>56</v>
      </c>
      <c r="D31" s="24"/>
      <c r="E31" s="27"/>
      <c r="F31" s="6">
        <f aca="true" t="shared" si="1" ref="F31:F39">D31-E31</f>
        <v>0</v>
      </c>
    </row>
    <row r="32" spans="1:6" ht="12.75">
      <c r="A32" s="31" t="s">
        <v>57</v>
      </c>
      <c r="B32" s="28" t="s">
        <v>58</v>
      </c>
      <c r="C32" s="46">
        <f>'V expenses'!$D$12</f>
        <v>4725174</v>
      </c>
      <c r="D32" s="24">
        <v>4713160</v>
      </c>
      <c r="E32" s="32">
        <v>4138509</v>
      </c>
      <c r="F32" s="6">
        <f t="shared" si="1"/>
        <v>574651</v>
      </c>
    </row>
    <row r="33" spans="1:6" ht="12.75">
      <c r="A33" s="31" t="s">
        <v>59</v>
      </c>
      <c r="B33" s="28" t="s">
        <v>60</v>
      </c>
      <c r="C33" s="6">
        <f>'V expenses'!$D$16</f>
        <v>4365916</v>
      </c>
      <c r="D33" s="24">
        <v>5066320</v>
      </c>
      <c r="E33" s="4">
        <v>4364945</v>
      </c>
      <c r="F33" s="6">
        <f t="shared" si="1"/>
        <v>701375</v>
      </c>
    </row>
    <row r="34" spans="1:6" ht="12.75">
      <c r="A34" s="31" t="s">
        <v>61</v>
      </c>
      <c r="B34" s="28" t="s">
        <v>62</v>
      </c>
      <c r="C34" s="6">
        <v>375000</v>
      </c>
      <c r="D34" s="24">
        <v>375000</v>
      </c>
      <c r="E34" s="32">
        <v>451733</v>
      </c>
      <c r="F34" s="6">
        <f t="shared" si="1"/>
        <v>-76733</v>
      </c>
    </row>
    <row r="35" spans="1:12" ht="12.75">
      <c r="A35" s="31" t="s">
        <v>63</v>
      </c>
      <c r="B35" s="28" t="s">
        <v>64</v>
      </c>
      <c r="C35" s="24">
        <v>8000</v>
      </c>
      <c r="D35" s="24">
        <v>8000</v>
      </c>
      <c r="E35" s="32">
        <v>6380</v>
      </c>
      <c r="F35" s="6">
        <f t="shared" si="1"/>
        <v>1620</v>
      </c>
      <c r="H35" s="15">
        <f>SUM(C32:C35)</f>
        <v>9474090</v>
      </c>
      <c r="I35" s="15">
        <f>SUM(D32:D35)</f>
        <v>10162480</v>
      </c>
      <c r="J35" s="15">
        <f>SUM(E31:E35)-E33</f>
        <v>4596622</v>
      </c>
      <c r="K35" s="6">
        <f>I35-J35</f>
        <v>5565858</v>
      </c>
      <c r="L35" s="15" t="e">
        <f>#REF!+#REF!+#REF!</f>
        <v>#REF!</v>
      </c>
    </row>
    <row r="36" spans="1:6" ht="12.75">
      <c r="A36" s="31" t="s">
        <v>65</v>
      </c>
      <c r="B36" s="28" t="s">
        <v>66</v>
      </c>
      <c r="D36" s="24"/>
      <c r="E36" s="32"/>
      <c r="F36" s="6">
        <f t="shared" si="1"/>
        <v>0</v>
      </c>
    </row>
    <row r="37" spans="1:6" ht="12.75">
      <c r="A37" s="31"/>
      <c r="B37" s="28"/>
      <c r="D37" s="24"/>
      <c r="E37" s="32"/>
      <c r="F37" s="33"/>
    </row>
    <row r="38" spans="1:6" ht="12.75">
      <c r="A38" s="16">
        <v>52236130</v>
      </c>
      <c r="B38" s="28" t="s">
        <v>67</v>
      </c>
      <c r="C38" s="24">
        <v>75000</v>
      </c>
      <c r="D38" s="24">
        <v>75000</v>
      </c>
      <c r="E38" s="27">
        <v>57855</v>
      </c>
      <c r="F38" s="6">
        <f t="shared" si="1"/>
        <v>17145</v>
      </c>
    </row>
    <row r="39" spans="1:12" ht="12.75">
      <c r="A39" s="16">
        <v>52236140</v>
      </c>
      <c r="B39" s="28" t="s">
        <v>68</v>
      </c>
      <c r="C39" s="24">
        <v>22000</v>
      </c>
      <c r="D39" s="24">
        <v>18000</v>
      </c>
      <c r="E39" s="27">
        <v>21304</v>
      </c>
      <c r="F39" s="6">
        <f t="shared" si="1"/>
        <v>-3304</v>
      </c>
      <c r="H39" s="15">
        <f>SUM(C38:C39)</f>
        <v>97000</v>
      </c>
      <c r="I39" s="15">
        <f>SUM(D38:D39)</f>
        <v>93000</v>
      </c>
      <c r="J39" s="15">
        <f>SUM(E38:E39)</f>
        <v>79159</v>
      </c>
      <c r="K39" s="6">
        <f>I39-J39</f>
        <v>13841</v>
      </c>
      <c r="L39" s="15" t="e">
        <f>SUM(#REF!)</f>
        <v>#REF!</v>
      </c>
    </row>
    <row r="40" spans="1:6" ht="12.75">
      <c r="A40" s="34"/>
      <c r="D40" s="17"/>
      <c r="E40" s="15"/>
      <c r="F40" s="6"/>
    </row>
    <row r="41" spans="1:6" ht="12.75">
      <c r="A41" s="18" t="s">
        <v>38</v>
      </c>
      <c r="B41" s="19" t="s">
        <v>38</v>
      </c>
      <c r="D41" s="24" t="s">
        <v>38</v>
      </c>
      <c r="E41" s="25"/>
      <c r="F41" s="26"/>
    </row>
    <row r="42" spans="1:6" ht="12.75">
      <c r="A42" s="16" t="s">
        <v>69</v>
      </c>
      <c r="C42" s="24">
        <f>SUM(C14:C39)</f>
        <v>10548740</v>
      </c>
      <c r="D42" s="24">
        <f>SUM(D14:D39)</f>
        <v>11420130</v>
      </c>
      <c r="E42" s="24">
        <f>SUM(E14:E39)</f>
        <v>10010195</v>
      </c>
      <c r="F42" s="24">
        <f>SUM(F14:F39)</f>
        <v>1409935</v>
      </c>
    </row>
    <row r="43" spans="4:6" ht="12.75">
      <c r="D43" s="2"/>
      <c r="F43" s="6"/>
    </row>
    <row r="44" spans="4:6" ht="12.75">
      <c r="D44" s="2"/>
      <c r="F44" s="6"/>
    </row>
    <row r="45" spans="1:12" ht="12.75">
      <c r="A45" s="16" t="s">
        <v>70</v>
      </c>
      <c r="C45" s="17">
        <f>C42+C11</f>
        <v>10659002</v>
      </c>
      <c r="D45" s="17">
        <f>D42+D11</f>
        <v>11495261</v>
      </c>
      <c r="E45" s="17">
        <f>E42+E11</f>
        <v>10081765</v>
      </c>
      <c r="F45" s="17">
        <f>F42+F11</f>
        <v>1413496</v>
      </c>
      <c r="I45" s="17">
        <f>SUM(I4:I42)</f>
        <v>11495261</v>
      </c>
      <c r="J45" s="17">
        <f>SUM(J4:J42)</f>
        <v>5716820</v>
      </c>
      <c r="K45" s="17">
        <f>SUM(K4:K42)</f>
        <v>5778441</v>
      </c>
      <c r="L45" s="17" t="e">
        <f>SUM(L4:L42)</f>
        <v>#REF!</v>
      </c>
    </row>
  </sheetData>
  <printOptions/>
  <pageMargins left="0.75" right="0.75" top="1" bottom="1" header="0.5" footer="0.5"/>
  <pageSetup horizontalDpi="600" verticalDpi="600" orientation="landscape" scale="83" r:id="rId3"/>
  <colBreaks count="1" manualBreakCount="1">
    <brk id="6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2" sqref="E2"/>
    </sheetView>
  </sheetViews>
  <sheetFormatPr defaultColWidth="9.140625" defaultRowHeight="12.75"/>
  <cols>
    <col min="1" max="1" width="37.00390625" style="0" bestFit="1" customWidth="1"/>
    <col min="2" max="2" width="34.421875" style="0" customWidth="1"/>
    <col min="6" max="6" width="15.00390625" style="0" bestFit="1" customWidth="1"/>
  </cols>
  <sheetData>
    <row r="1" spans="1:2" ht="12.75">
      <c r="A1" t="s">
        <v>0</v>
      </c>
      <c r="B1" s="3" t="s">
        <v>1</v>
      </c>
    </row>
    <row r="2" spans="1:6" ht="12.75">
      <c r="A2" t="s">
        <v>4</v>
      </c>
      <c r="B2" s="4">
        <f>B14*59</f>
        <v>10620000</v>
      </c>
      <c r="D2">
        <f>B14*0.68</f>
        <v>122400.00000000001</v>
      </c>
      <c r="E2">
        <v>60</v>
      </c>
      <c r="F2" s="41">
        <f>D2*E2</f>
        <v>7344000.000000001</v>
      </c>
    </row>
    <row r="3" spans="1:6" ht="12.75">
      <c r="A3" t="s">
        <v>5</v>
      </c>
      <c r="B3" s="4">
        <v>180000</v>
      </c>
      <c r="D3">
        <f>B14*0.32</f>
        <v>57600</v>
      </c>
      <c r="E3">
        <v>63</v>
      </c>
      <c r="F3" s="41">
        <f>D3*E3</f>
        <v>3628800</v>
      </c>
    </row>
    <row r="4" spans="1:2" ht="12.75">
      <c r="A4" t="s">
        <v>6</v>
      </c>
      <c r="B4" s="4">
        <v>0</v>
      </c>
    </row>
    <row r="5" spans="1:2" ht="12.75">
      <c r="A5" t="s">
        <v>7</v>
      </c>
      <c r="B5" s="4">
        <v>40000</v>
      </c>
    </row>
    <row r="6" spans="1:2" ht="12.75">
      <c r="A6" s="7" t="s">
        <v>8</v>
      </c>
      <c r="B6" s="36">
        <v>250000</v>
      </c>
    </row>
    <row r="7" spans="1:8" ht="12.75">
      <c r="A7" t="s">
        <v>9</v>
      </c>
      <c r="B7" s="4">
        <f>SUM(B2:B6)</f>
        <v>11090000</v>
      </c>
      <c r="F7" s="44">
        <f>SUM(F2:F6)</f>
        <v>10972800</v>
      </c>
      <c r="G7">
        <f>F7/B14</f>
        <v>60.96</v>
      </c>
      <c r="H7">
        <f>G7*75</f>
        <v>4572</v>
      </c>
    </row>
    <row r="8" spans="2:8" ht="12.75">
      <c r="B8" s="4"/>
      <c r="G8">
        <v>58.96</v>
      </c>
      <c r="H8">
        <f>G8*25</f>
        <v>1474</v>
      </c>
    </row>
    <row r="9" spans="1:8" ht="12.75">
      <c r="A9" t="s">
        <v>10</v>
      </c>
      <c r="B9" s="4">
        <v>0</v>
      </c>
      <c r="H9">
        <f>SUM(H7:H8)/100</f>
        <v>60.46</v>
      </c>
    </row>
    <row r="10" spans="1:2" ht="12.75">
      <c r="A10" t="s">
        <v>11</v>
      </c>
      <c r="B10" s="4">
        <v>0</v>
      </c>
    </row>
    <row r="11" ht="12.75">
      <c r="B11" s="8"/>
    </row>
    <row r="12" spans="1:2" ht="12.75">
      <c r="A12" s="9" t="s">
        <v>12</v>
      </c>
      <c r="B12" s="10">
        <f>SUM(B7:B10)</f>
        <v>11090000</v>
      </c>
    </row>
    <row r="14" spans="1:2" ht="12.75">
      <c r="A14" t="s">
        <v>24</v>
      </c>
      <c r="B14" s="45">
        <f>Summary!$B$37</f>
        <v>180000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Napa County</cp:lastModifiedBy>
  <cp:lastPrinted>2010-02-01T18:51:11Z</cp:lastPrinted>
  <dcterms:created xsi:type="dcterms:W3CDTF">2008-03-31T16:33:45Z</dcterms:created>
  <dcterms:modified xsi:type="dcterms:W3CDTF">2010-02-01T20:06:13Z</dcterms:modified>
  <cp:category/>
  <cp:version/>
  <cp:contentType/>
  <cp:contentStatus/>
</cp:coreProperties>
</file>