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3"/>
  </bookViews>
  <sheets>
    <sheet name="40800" sheetId="1" r:id="rId1"/>
    <sheet name="Dept &amp; Capital" sheetId="2" r:id="rId2"/>
    <sheet name="KEY" sheetId="3" r:id="rId3"/>
    <sheet name="Year to Date" sheetId="4" r:id="rId4"/>
  </sheets>
  <definedNames>
    <definedName name="_xlnm.Print_Area" localSheetId="0">'40800'!$A$1:$U$41</definedName>
    <definedName name="_xlnm.Print_Area" localSheetId="1">'Dept &amp; Capital'!$A$1:$T$46</definedName>
    <definedName name="_xlnm.Print_Area" localSheetId="3">'Year to Date'!$A$1:$AI$59</definedName>
  </definedNames>
  <calcPr fullCalcOnLoad="1"/>
</workbook>
</file>

<file path=xl/comments1.xml><?xml version="1.0" encoding="utf-8"?>
<comments xmlns="http://schemas.openxmlformats.org/spreadsheetml/2006/main">
  <authors>
    <author>Napa County</author>
  </authors>
  <commentList>
    <comment ref="S2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 edited Explanation to reflect ACSL contracts as included in this account.  Do we want to move $'s to make it real?</t>
        </r>
      </text>
    </comment>
    <comment ref="S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see note for PSS Other</t>
        </r>
      </text>
    </comment>
  </commentList>
</comments>
</file>

<file path=xl/comments4.xml><?xml version="1.0" encoding="utf-8"?>
<comments xmlns="http://schemas.openxmlformats.org/spreadsheetml/2006/main">
  <authors>
    <author>Napa County</author>
  </authors>
  <commentList>
    <comment ref="AA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Payment</t>
        </r>
      </text>
    </comment>
    <comment ref="A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Apr/may and June payments</t>
        </r>
      </text>
    </comment>
    <comment ref="A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 and June mtgs.  </t>
        </r>
      </text>
    </comment>
    <comment ref="AC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DEM 4thQtr 5K
Collections June</t>
        </r>
      </text>
    </comment>
    <comment ref="Q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took remaining balance from spreadsheet and spread thru 7 mos.  These numbers may be a bit inflated in order to get to zero in the remaining budget column.</t>
        </r>
      </text>
    </comment>
    <comment ref="M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3 payperiods just Mgr.</t>
        </r>
      </text>
    </comment>
    <comment ref="AC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May&amp;June</t>
        </r>
      </text>
    </comment>
    <comment ref="AA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3 payperiods</t>
        </r>
      </text>
    </comment>
    <comment ref="W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 and Jan</t>
        </r>
      </text>
    </comment>
    <comment ref="U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 08</t>
        </r>
      </text>
    </comment>
    <comment ref="U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jan/feb meetings</t>
        </r>
      </text>
    </comment>
    <comment ref="S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meeting</t>
        </r>
      </text>
    </comment>
    <comment ref="AA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should be zero if not paying until june</t>
        </r>
      </text>
    </comment>
    <comment ref="W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</t>
        </r>
      </text>
    </comment>
    <comment ref="Y2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Trent moved Shaw and Golder to Closure/Post Closure.  It was decided to move back into this account and discuss with Board at meeting.</t>
        </r>
      </text>
    </comment>
    <comment ref="Y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</t>
        </r>
      </text>
    </comment>
    <comment ref="Y3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2nd and 3rd quarter</t>
        </r>
      </text>
    </comment>
    <comment ref="Y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</t>
        </r>
      </text>
    </comment>
    <comment ref="Y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but has adjustment in it</t>
        </r>
      </text>
    </comment>
    <comment ref="Y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chuck time at acsl
martha budget time</t>
        </r>
      </text>
    </comment>
    <comment ref="AC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May&amp;June</t>
        </r>
      </text>
    </comment>
    <comment ref="AA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and April</t>
        </r>
      </text>
    </comment>
  </commentList>
</comments>
</file>

<file path=xl/sharedStrings.xml><?xml version="1.0" encoding="utf-8"?>
<sst xmlns="http://schemas.openxmlformats.org/spreadsheetml/2006/main" count="216" uniqueCount="119">
  <si>
    <t>Financial Statements</t>
  </si>
  <si>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</si>
  <si>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</si>
  <si>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</si>
  <si>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</si>
  <si>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</si>
  <si>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</si>
  <si>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</si>
  <si>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</si>
  <si>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</si>
  <si>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</si>
  <si>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</si>
  <si>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</si>
  <si>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</si>
  <si>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</si>
  <si>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</si>
  <si>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</si>
  <si>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</si>
  <si>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</si>
  <si>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</si>
  <si>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</si>
  <si>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</si>
  <si>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</si>
  <si>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</si>
  <si>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</si>
  <si>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</si>
  <si>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</si>
  <si>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</si>
  <si>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</si>
  <si>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</si>
  <si>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</si>
  <si>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</si>
  <si>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</si>
  <si>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</si>
  <si>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</si>
  <si>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</si>
  <si>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</si>
  <si>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</si>
  <si>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</si>
  <si>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Proof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</si>
  <si>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</si>
  <si>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</si>
  <si>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</si>
  <si>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</si>
  <si>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</si>
  <si>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</si>
  <si>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</si>
  <si>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</si>
  <si>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</si>
  <si>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</si>
  <si>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</si>
  <si>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</si>
  <si>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</si>
  <si>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</si>
  <si>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</si>
  <si>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</si>
  <si>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</si>
  <si>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</si>
  <si>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</si>
  <si>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</si>
  <si>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</si>
  <si>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Financial Statements - Cash Basis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</si>
  <si>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</si>
  <si>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</si>
  <si>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</si>
  <si>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</si>
  <si>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</si>
  <si>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</si>
  <si>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</si>
  <si>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</si>
  <si>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</si>
  <si>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</si>
  <si>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</si>
  <si>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</si>
  <si>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</si>
  <si>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</si>
  <si>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</si>
  <si>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Full amount encumbered</t>
  </si>
  <si>
    <t>Includes encumbrances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</si>
  <si>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</si>
  <si>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</si>
  <si>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</si>
  <si>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</si>
  <si>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</si>
  <si>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</si>
  <si>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</si>
  <si>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</si>
  <si>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</si>
  <si>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</si>
  <si>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-</t>
  </si>
  <si>
    <t>July, 2008</t>
  </si>
  <si>
    <t>Aug, 2008</t>
  </si>
  <si>
    <t>Sept. 2008</t>
  </si>
  <si>
    <t>Oct, 2008</t>
  </si>
  <si>
    <t>Nov, 2008</t>
  </si>
  <si>
    <t>Dec, 2008</t>
  </si>
  <si>
    <t>Jan, 2009</t>
  </si>
  <si>
    <t>Feb, 2009</t>
  </si>
  <si>
    <t>Mar, 2009</t>
  </si>
  <si>
    <t>Apr, 2009</t>
  </si>
  <si>
    <t>Jun, 2009</t>
  </si>
  <si>
    <t>Landfill Power Project</t>
  </si>
  <si>
    <t>Year End Accrual vs Cash Adjustment</t>
  </si>
  <si>
    <t>(As of 6/30/08)</t>
  </si>
  <si>
    <t>ESTIMATED</t>
  </si>
  <si>
    <t>2004 NVWMA Rev Bond Principal</t>
  </si>
  <si>
    <t>2004 NVWMA Rev Bond Interest</t>
  </si>
  <si>
    <t>2004 NVWMA Rev Bond Pay Ag Fee</t>
  </si>
  <si>
    <t>May, 2009</t>
  </si>
  <si>
    <t>Reflects actual cash received (not billed to be received)</t>
  </si>
  <si>
    <t>Unanticipated add'l fee imposed by Water Board Reso Oct 10th</t>
  </si>
  <si>
    <t>1st and 2nd quarter billings</t>
  </si>
  <si>
    <t>April</t>
  </si>
  <si>
    <t>For the Month of April 2009 (Target = 83% of budget)</t>
  </si>
  <si>
    <t>(Percent Target = 83%)</t>
  </si>
  <si>
    <t>Annual premium paid in full</t>
  </si>
  <si>
    <t>Actuals for the 9 Months July 2008 - April 2009</t>
  </si>
  <si>
    <t>overexpenditure related to encumbered contracts for ACSL Ops</t>
  </si>
  <si>
    <t xml:space="preserve">estimated % related to encumbrances in PSS:Other for ACSL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</si>
</sst>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%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0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10" fontId="0" fillId="0" borderId="0" xfId="21" applyNumberFormat="1" applyAlignment="1">
      <alignment/>
    </xf>
    <xf numFmtId="43" fontId="0" fillId="0" borderId="1" xfId="15" applyBorder="1" applyAlignment="1">
      <alignment horizontal="center"/>
    </xf>
    <xf numFmtId="43" fontId="0" fillId="0" borderId="1" xfId="15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0" fontId="0" fillId="0" borderId="0" xfId="21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17" applyNumberFormat="1" applyAlignment="1">
      <alignment/>
    </xf>
    <xf numFmtId="168" fontId="0" fillId="0" borderId="3" xfId="17" applyNumberFormat="1" applyBorder="1" applyAlignment="1">
      <alignment horizontal="left"/>
    </xf>
    <xf numFmtId="168" fontId="0" fillId="0" borderId="0" xfId="17" applyNumberFormat="1" applyAlignment="1">
      <alignment horizontal="left"/>
    </xf>
    <xf numFmtId="168" fontId="0" fillId="0" borderId="3" xfId="17" applyNumberFormat="1" applyBorder="1" applyAlignment="1">
      <alignment/>
    </xf>
    <xf numFmtId="168" fontId="0" fillId="0" borderId="0" xfId="17" applyNumberFormat="1" applyBorder="1" applyAlignment="1">
      <alignment/>
    </xf>
    <xf numFmtId="168" fontId="2" fillId="0" borderId="4" xfId="17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21" applyNumberFormat="1" applyBorder="1" applyAlignment="1">
      <alignment/>
    </xf>
    <xf numFmtId="43" fontId="0" fillId="2" borderId="0" xfId="15" applyFill="1" applyAlignment="1">
      <alignment horizontal="center"/>
    </xf>
    <xf numFmtId="43" fontId="0" fillId="2" borderId="1" xfId="15" applyFill="1" applyBorder="1" applyAlignment="1">
      <alignment horizontal="center"/>
    </xf>
    <xf numFmtId="43" fontId="0" fillId="2" borderId="0" xfId="15" applyFill="1" applyAlignment="1">
      <alignment/>
    </xf>
    <xf numFmtId="166" fontId="0" fillId="2" borderId="0" xfId="15" applyNumberFormat="1" applyFill="1" applyAlignment="1">
      <alignment/>
    </xf>
    <xf numFmtId="168" fontId="0" fillId="2" borderId="0" xfId="17" applyNumberFormat="1" applyFill="1" applyAlignment="1">
      <alignment/>
    </xf>
    <xf numFmtId="168" fontId="0" fillId="2" borderId="3" xfId="17" applyNumberFormat="1" applyFill="1" applyBorder="1" applyAlignment="1">
      <alignment/>
    </xf>
    <xf numFmtId="43" fontId="0" fillId="2" borderId="0" xfId="15" applyFont="1" applyFill="1" applyAlignment="1">
      <alignment horizontal="center"/>
    </xf>
    <xf numFmtId="43" fontId="0" fillId="2" borderId="1" xfId="15" applyFont="1" applyFill="1" applyBorder="1" applyAlignment="1">
      <alignment horizontal="center"/>
    </xf>
    <xf numFmtId="166" fontId="0" fillId="2" borderId="0" xfId="15" applyNumberFormat="1" applyFill="1" applyBorder="1" applyAlignment="1">
      <alignment/>
    </xf>
    <xf numFmtId="166" fontId="0" fillId="2" borderId="2" xfId="15" applyNumberFormat="1" applyFill="1" applyBorder="1" applyAlignment="1">
      <alignment/>
    </xf>
    <xf numFmtId="168" fontId="0" fillId="2" borderId="3" xfId="17" applyNumberFormat="1" applyFill="1" applyBorder="1" applyAlignment="1">
      <alignment horizontal="left"/>
    </xf>
    <xf numFmtId="168" fontId="2" fillId="2" borderId="4" xfId="17" applyNumberFormat="1" applyFont="1" applyFill="1" applyBorder="1" applyAlignment="1">
      <alignment/>
    </xf>
    <xf numFmtId="166" fontId="0" fillId="2" borderId="0" xfId="15" applyNumberFormat="1" applyFont="1" applyFill="1" applyAlignment="1">
      <alignment/>
    </xf>
    <xf numFmtId="168" fontId="0" fillId="2" borderId="0" xfId="17" applyNumberFormat="1" applyFill="1" applyAlignment="1">
      <alignment horizontal="left"/>
    </xf>
    <xf numFmtId="43" fontId="0" fillId="0" borderId="0" xfId="15" applyFont="1" applyBorder="1" applyAlignment="1">
      <alignment horizontal="center"/>
    </xf>
    <xf numFmtId="168" fontId="0" fillId="0" borderId="0" xfId="17" applyNumberForma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15" applyFont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5" fillId="0" borderId="0" xfId="15" applyFont="1" applyFill="1" applyAlignment="1">
      <alignment horizontal="center"/>
    </xf>
    <xf numFmtId="43" fontId="5" fillId="0" borderId="1" xfId="15" applyFont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68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168" fontId="5" fillId="0" borderId="3" xfId="17" applyNumberFormat="1" applyFont="1" applyBorder="1" applyAlignment="1">
      <alignment/>
    </xf>
    <xf numFmtId="168" fontId="5" fillId="0" borderId="0" xfId="17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1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21" applyNumberFormat="1" applyFont="1" applyFill="1" applyAlignment="1">
      <alignment/>
    </xf>
    <xf numFmtId="168" fontId="3" fillId="0" borderId="0" xfId="17" applyNumberFormat="1" applyFont="1" applyFill="1" applyBorder="1" applyAlignment="1">
      <alignment/>
    </xf>
    <xf numFmtId="168" fontId="5" fillId="0" borderId="4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3" fontId="8" fillId="0" borderId="0" xfId="15" applyFont="1" applyBorder="1" applyAlignment="1">
      <alignment horizontal="center"/>
    </xf>
    <xf numFmtId="41" fontId="0" fillId="0" borderId="0" xfId="17" applyNumberFormat="1" applyAlignment="1">
      <alignment/>
    </xf>
    <xf numFmtId="41" fontId="0" fillId="2" borderId="0" xfId="17" applyNumberFormat="1" applyFill="1" applyAlignment="1">
      <alignment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0" fontId="5" fillId="0" borderId="0" xfId="21" applyNumberFormat="1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8" fontId="5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5" xfId="15" applyFill="1" applyBorder="1" applyAlignment="1">
      <alignment/>
    </xf>
    <xf numFmtId="168" fontId="5" fillId="0" borderId="0" xfId="17" applyNumberFormat="1" applyFont="1" applyAlignment="1">
      <alignment/>
    </xf>
    <xf numFmtId="168" fontId="5" fillId="0" borderId="0" xfId="17" applyNumberFormat="1" applyFont="1" applyFill="1" applyBorder="1" applyAlignment="1">
      <alignment/>
    </xf>
    <xf numFmtId="168" fontId="5" fillId="0" borderId="0" xfId="17" applyNumberFormat="1" applyFont="1" applyFill="1" applyAlignment="1">
      <alignment/>
    </xf>
    <xf numFmtId="168" fontId="5" fillId="0" borderId="6" xfId="17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15" applyNumberFormat="1" applyFill="1" applyBorder="1" applyAlignment="1">
      <alignment/>
    </xf>
    <xf numFmtId="10" fontId="0" fillId="0" borderId="2" xfId="21" applyNumberFormat="1" applyBorder="1" applyAlignment="1">
      <alignment/>
    </xf>
    <xf numFmtId="168" fontId="2" fillId="0" borderId="0" xfId="17" applyNumberFormat="1" applyFont="1" applyFill="1" applyBorder="1" applyAlignment="1">
      <alignment/>
    </xf>
    <xf numFmtId="10" fontId="0" fillId="0" borderId="0" xfId="21" applyNumberFormat="1" applyFont="1" applyAlignment="1">
      <alignment horizontal="center"/>
    </xf>
    <xf numFmtId="168" fontId="9" fillId="0" borderId="0" xfId="17" applyNumberFormat="1" applyFont="1" applyFill="1" applyBorder="1" applyAlignment="1">
      <alignment/>
    </xf>
    <xf numFmtId="166" fontId="9" fillId="0" borderId="0" xfId="15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66" fontId="9" fillId="0" borderId="0" xfId="15" applyNumberFormat="1" applyFont="1" applyAlignment="1">
      <alignment/>
    </xf>
    <xf numFmtId="168" fontId="9" fillId="0" borderId="0" xfId="17" applyNumberFormat="1" applyFont="1" applyBorder="1" applyAlignment="1">
      <alignment/>
    </xf>
    <xf numFmtId="43" fontId="9" fillId="0" borderId="0" xfId="15" applyFont="1" applyFill="1" applyBorder="1" applyAlignment="1">
      <alignment/>
    </xf>
    <xf numFmtId="168" fontId="9" fillId="0" borderId="0" xfId="17" applyNumberFormat="1" applyFont="1" applyFill="1" applyBorder="1" applyAlignment="1">
      <alignment horizontal="left"/>
    </xf>
    <xf numFmtId="168" fontId="10" fillId="0" borderId="0" xfId="17" applyNumberFormat="1" applyFont="1" applyFill="1" applyBorder="1" applyAlignment="1">
      <alignment/>
    </xf>
    <xf numFmtId="43" fontId="5" fillId="3" borderId="0" xfId="15" applyFont="1" applyFill="1" applyAlignment="1">
      <alignment horizontal="center"/>
    </xf>
    <xf numFmtId="43" fontId="5" fillId="3" borderId="1" xfId="15" applyFont="1" applyFill="1" applyBorder="1" applyAlignment="1">
      <alignment horizontal="center"/>
    </xf>
    <xf numFmtId="43" fontId="5" fillId="3" borderId="0" xfId="15" applyFont="1" applyFill="1" applyAlignment="1">
      <alignment/>
    </xf>
    <xf numFmtId="168" fontId="5" fillId="3" borderId="0" xfId="17" applyNumberFormat="1" applyFont="1" applyFill="1" applyAlignment="1">
      <alignment/>
    </xf>
    <xf numFmtId="10" fontId="5" fillId="3" borderId="0" xfId="21" applyNumberFormat="1" applyFont="1" applyFill="1" applyAlignment="1">
      <alignment/>
    </xf>
    <xf numFmtId="168" fontId="5" fillId="3" borderId="3" xfId="17" applyNumberFormat="1" applyFont="1" applyFill="1" applyBorder="1" applyAlignment="1">
      <alignment/>
    </xf>
    <xf numFmtId="10" fontId="5" fillId="3" borderId="3" xfId="21" applyNumberFormat="1" applyFont="1" applyFill="1" applyBorder="1" applyAlignment="1">
      <alignment/>
    </xf>
    <xf numFmtId="0" fontId="5" fillId="3" borderId="0" xfId="0" applyFont="1" applyFill="1" applyAlignment="1">
      <alignment/>
    </xf>
    <xf numFmtId="166" fontId="5" fillId="3" borderId="0" xfId="15" applyNumberFormat="1" applyFont="1" applyFill="1" applyAlignment="1">
      <alignment/>
    </xf>
    <xf numFmtId="10" fontId="5" fillId="3" borderId="0" xfId="21" applyNumberFormat="1" applyFont="1" applyFill="1" applyBorder="1" applyAlignment="1">
      <alignment/>
    </xf>
    <xf numFmtId="166" fontId="5" fillId="3" borderId="2" xfId="15" applyNumberFormat="1" applyFont="1" applyFill="1" applyBorder="1" applyAlignment="1">
      <alignment/>
    </xf>
    <xf numFmtId="166" fontId="5" fillId="3" borderId="0" xfId="15" applyNumberFormat="1" applyFont="1" applyFill="1" applyBorder="1" applyAlignment="1">
      <alignment/>
    </xf>
    <xf numFmtId="43" fontId="5" fillId="3" borderId="0" xfId="15" applyFont="1" applyFill="1" applyBorder="1" applyAlignment="1">
      <alignment/>
    </xf>
    <xf numFmtId="168" fontId="5" fillId="3" borderId="3" xfId="17" applyNumberFormat="1" applyFont="1" applyFill="1" applyBorder="1" applyAlignment="1">
      <alignment horizontal="left"/>
    </xf>
    <xf numFmtId="168" fontId="5" fillId="3" borderId="4" xfId="17" applyNumberFormat="1" applyFont="1" applyFill="1" applyBorder="1" applyAlignment="1">
      <alignment/>
    </xf>
    <xf numFmtId="166" fontId="5" fillId="0" borderId="2" xfId="15" applyNumberFormat="1" applyFont="1" applyFill="1" applyBorder="1" applyAlignment="1">
      <alignment/>
    </xf>
    <xf numFmtId="168" fontId="5" fillId="0" borderId="0" xfId="17" applyNumberFormat="1" applyFont="1" applyFill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0" applyNumberFormat="1" applyFont="1" applyAlignment="1">
      <alignment/>
    </xf>
    <xf numFmtId="37" fontId="5" fillId="3" borderId="0" xfId="15" applyNumberFormat="1" applyFont="1" applyFill="1" applyAlignment="1">
      <alignment/>
    </xf>
    <xf numFmtId="166" fontId="11" fillId="0" borderId="0" xfId="15" applyNumberFormat="1" applyFont="1" applyFill="1" applyAlignment="1">
      <alignment/>
    </xf>
    <xf numFmtId="43" fontId="11" fillId="0" borderId="0" xfId="15" applyFont="1" applyFill="1" applyAlignment="1">
      <alignment/>
    </xf>
    <xf numFmtId="168" fontId="5" fillId="0" borderId="3" xfId="17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15" applyFont="1" applyAlignment="1">
      <alignment/>
    </xf>
    <xf numFmtId="43" fontId="5" fillId="0" borderId="1" xfId="15" applyFont="1" applyFill="1" applyBorder="1" applyAlignment="1">
      <alignment horizontal="center"/>
    </xf>
    <xf numFmtId="43" fontId="0" fillId="0" borderId="5" xfId="15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15" applyNumberFormat="1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9" fontId="5" fillId="3" borderId="0" xfId="21" applyNumberFormat="1" applyFont="1" applyFill="1" applyBorder="1" applyAlignment="1" quotePrefix="1">
      <alignment horizontal="center"/>
    </xf>
    <xf numFmtId="168" fontId="9" fillId="0" borderId="0" xfId="17" applyNumberFormat="1" applyFont="1" applyAlignment="1">
      <alignment/>
    </xf>
    <xf numFmtId="168" fontId="9" fillId="0" borderId="0" xfId="17" applyNumberFormat="1" applyFont="1" applyFill="1" applyAlignment="1">
      <alignment/>
    </xf>
    <xf numFmtId="166" fontId="9" fillId="0" borderId="0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166" fontId="9" fillId="0" borderId="2" xfId="15" applyNumberFormat="1" applyFont="1" applyFill="1" applyBorder="1" applyAlignment="1">
      <alignment/>
    </xf>
    <xf numFmtId="168" fontId="9" fillId="0" borderId="0" xfId="17" applyNumberFormat="1" applyFont="1" applyAlignment="1">
      <alignment horizontal="left"/>
    </xf>
    <xf numFmtId="168" fontId="9" fillId="0" borderId="2" xfId="17" applyNumberFormat="1" applyFont="1" applyFill="1" applyBorder="1" applyAlignment="1">
      <alignment/>
    </xf>
    <xf numFmtId="44" fontId="2" fillId="2" borderId="4" xfId="17" applyNumberFormat="1" applyFont="1" applyFill="1" applyBorder="1" applyAlignment="1">
      <alignment/>
    </xf>
    <xf numFmtId="43" fontId="5" fillId="0" borderId="1" xfId="15" applyFont="1" applyBorder="1" applyAlignment="1">
      <alignment horizontal="center"/>
    </xf>
    <xf numFmtId="166" fontId="5" fillId="0" borderId="2" xfId="15" applyNumberFormat="1" applyFont="1" applyBorder="1" applyAlignment="1">
      <alignment/>
    </xf>
    <xf numFmtId="43" fontId="14" fillId="0" borderId="0" xfId="15" applyFont="1" applyBorder="1" applyAlignment="1">
      <alignment/>
    </xf>
    <xf numFmtId="41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15" applyFont="1" applyFill="1" applyAlignment="1">
      <alignment/>
    </xf>
    <xf numFmtId="43" fontId="0" fillId="0" borderId="5" xfId="15" applyFont="1" applyFill="1" applyBorder="1" applyAlignment="1">
      <alignment/>
    </xf>
    <xf numFmtId="0" fontId="0" fillId="0" borderId="3" xfId="0" applyFill="1" applyBorder="1" applyAlignment="1">
      <alignment/>
    </xf>
    <xf numFmtId="43" fontId="5" fillId="3" borderId="0" xfId="15" applyFont="1" applyFill="1" applyBorder="1" applyAlignment="1">
      <alignment horizontal="center"/>
    </xf>
    <xf numFmtId="43" fontId="5" fillId="3" borderId="1" xfId="15" applyFont="1" applyFill="1" applyBorder="1" applyAlignment="1">
      <alignment horizontal="center"/>
    </xf>
    <xf numFmtId="38" fontId="0" fillId="2" borderId="0" xfId="15" applyNumberFormat="1" applyFill="1" applyAlignment="1">
      <alignment/>
    </xf>
    <xf numFmtId="43" fontId="0" fillId="0" borderId="0" xfId="15" applyFont="1" applyFill="1" applyBorder="1" applyAlignment="1">
      <alignment/>
    </xf>
    <xf numFmtId="168" fontId="18" fillId="0" borderId="0" xfId="17" applyNumberFormat="1" applyFont="1" applyFill="1" applyBorder="1" applyAlignment="1">
      <alignment/>
    </xf>
    <xf numFmtId="168" fontId="5" fillId="0" borderId="0" xfId="17" applyNumberFormat="1" applyFont="1" applyBorder="1" applyAlignment="1">
      <alignment/>
    </xf>
    <xf numFmtId="166" fontId="18" fillId="0" borderId="0" xfId="15" applyNumberFormat="1" applyFont="1" applyFill="1" applyBorder="1" applyAlignment="1">
      <alignment/>
    </xf>
    <xf numFmtId="168" fontId="5" fillId="0" borderId="0" xfId="17" applyNumberFormat="1" applyFont="1" applyFill="1" applyBorder="1" applyAlignment="1">
      <alignment horizontal="left"/>
    </xf>
    <xf numFmtId="168" fontId="3" fillId="0" borderId="0" xfId="17" applyNumberFormat="1" applyFont="1" applyFill="1" applyBorder="1" applyAlignment="1">
      <alignment/>
    </xf>
    <xf numFmtId="168" fontId="18" fillId="0" borderId="0" xfId="17" applyNumberFormat="1" applyFont="1" applyFill="1" applyBorder="1" applyAlignment="1">
      <alignment horizontal="left"/>
    </xf>
    <xf numFmtId="166" fontId="18" fillId="0" borderId="0" xfId="15" applyNumberFormat="1" applyFont="1" applyFill="1" applyAlignment="1">
      <alignment/>
    </xf>
    <xf numFmtId="0" fontId="5" fillId="0" borderId="0" xfId="0" applyFont="1" applyBorder="1" applyAlignment="1">
      <alignment/>
    </xf>
    <xf numFmtId="172" fontId="0" fillId="0" borderId="0" xfId="21" applyNumberFormat="1" applyAlignment="1">
      <alignment/>
    </xf>
    <xf numFmtId="43" fontId="0" fillId="0" borderId="0" xfId="15" applyFont="1" applyFill="1" applyAlignment="1">
      <alignment horizontal="center"/>
    </xf>
    <xf numFmtId="43" fontId="0" fillId="0" borderId="1" xfId="15" applyFont="1" applyFill="1" applyBorder="1" applyAlignment="1">
      <alignment horizontal="center"/>
    </xf>
    <xf numFmtId="168" fontId="0" fillId="0" borderId="3" xfId="17" applyNumberFormat="1" applyFill="1" applyBorder="1" applyAlignment="1">
      <alignment/>
    </xf>
    <xf numFmtId="166" fontId="0" fillId="0" borderId="0" xfId="15" applyNumberFormat="1" applyFill="1" applyAlignment="1">
      <alignment horizontal="right"/>
    </xf>
    <xf numFmtId="43" fontId="0" fillId="0" borderId="0" xfId="15" applyFill="1" applyAlignment="1">
      <alignment horizontal="right"/>
    </xf>
    <xf numFmtId="168" fontId="0" fillId="0" borderId="3" xfId="17" applyNumberFormat="1" applyFill="1" applyBorder="1" applyAlignment="1">
      <alignment horizontal="left"/>
    </xf>
    <xf numFmtId="0" fontId="5" fillId="0" borderId="7" xfId="0" applyFont="1" applyBorder="1" applyAlignment="1">
      <alignment/>
    </xf>
    <xf numFmtId="43" fontId="14" fillId="0" borderId="2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83"/>
  <sheetViews>
    <sheetView zoomScaleSheetLayoutView="90" workbookViewId="0" topLeftCell="A1">
      <pane xSplit="4" ySplit="6" topLeftCell="M13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S20" sqref="S20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2.7109375" style="2" customWidth="1"/>
    <col min="18" max="18" width="1.7109375" style="2" customWidth="1"/>
    <col min="19" max="19" width="15.7109375" style="0" customWidth="1"/>
    <col min="20" max="20" width="1.7109375" style="0" customWidth="1"/>
    <col min="21" max="21" width="52.7109375" style="0" customWidth="1"/>
    <col min="22" max="22" width="1.28515625" style="2" customWidth="1"/>
    <col min="23" max="23" width="12.7109375" style="2" customWidth="1"/>
    <col min="25" max="25" width="12.7109375" style="2" customWidth="1"/>
    <col min="27" max="27" width="11.28125" style="0" bestFit="1" customWidth="1"/>
  </cols>
  <sheetData>
    <row r="1" spans="1:25" ht="15.7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Y1" s="18"/>
    </row>
    <row r="2" spans="1:25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Y2" s="18"/>
    </row>
    <row r="3" spans="1:25" ht="15.75">
      <c r="A3" s="18" t="s">
        <v>113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18"/>
    </row>
    <row r="4" ht="33" customHeight="1"/>
    <row r="5" spans="5:25" ht="12.75">
      <c r="E5" s="4" t="s">
        <v>2</v>
      </c>
      <c r="F5" s="4"/>
      <c r="G5" s="4" t="s">
        <v>4</v>
      </c>
      <c r="H5" s="4"/>
      <c r="I5" s="32" t="s">
        <v>5</v>
      </c>
      <c r="J5" s="4"/>
      <c r="K5" s="5" t="s">
        <v>112</v>
      </c>
      <c r="L5" s="4"/>
      <c r="M5" s="38" t="s">
        <v>7</v>
      </c>
      <c r="N5" s="4"/>
      <c r="O5" s="38" t="s">
        <v>66</v>
      </c>
      <c r="P5" s="4"/>
      <c r="Q5" s="38" t="s">
        <v>60</v>
      </c>
      <c r="R5" s="4"/>
      <c r="S5" s="5" t="s">
        <v>58</v>
      </c>
      <c r="T5" s="4"/>
      <c r="U5" s="5" t="s">
        <v>114</v>
      </c>
      <c r="V5" s="5"/>
      <c r="W5" s="38"/>
      <c r="Y5" s="38" t="s">
        <v>7</v>
      </c>
    </row>
    <row r="6" spans="5:25" ht="13.5" thickBot="1">
      <c r="E6" s="7" t="s">
        <v>3</v>
      </c>
      <c r="F6" s="4"/>
      <c r="G6" s="8" t="s">
        <v>9</v>
      </c>
      <c r="H6" s="5"/>
      <c r="I6" s="33" t="s">
        <v>3</v>
      </c>
      <c r="J6" s="4"/>
      <c r="K6" s="8" t="s">
        <v>6</v>
      </c>
      <c r="L6" s="4"/>
      <c r="M6" s="39" t="s">
        <v>6</v>
      </c>
      <c r="N6" s="4"/>
      <c r="O6" s="39" t="s">
        <v>65</v>
      </c>
      <c r="P6" s="4"/>
      <c r="Q6" s="39" t="s">
        <v>3</v>
      </c>
      <c r="R6" s="4"/>
      <c r="S6" s="8" t="s">
        <v>76</v>
      </c>
      <c r="T6" s="4"/>
      <c r="U6" s="8" t="s">
        <v>36</v>
      </c>
      <c r="V6" s="8"/>
      <c r="W6" s="39"/>
      <c r="Y6" s="39" t="s">
        <v>6</v>
      </c>
    </row>
    <row r="7" spans="1:25" ht="12.75">
      <c r="A7" s="9" t="s">
        <v>1</v>
      </c>
      <c r="I7" s="34"/>
      <c r="M7" s="34"/>
      <c r="O7" s="34"/>
      <c r="Q7" s="34"/>
      <c r="S7" s="2"/>
      <c r="T7" s="2"/>
      <c r="W7" s="34"/>
      <c r="Y7" s="34"/>
    </row>
    <row r="8" spans="2:25" ht="12.75">
      <c r="B8" t="s">
        <v>55</v>
      </c>
      <c r="E8" s="10"/>
      <c r="F8" s="10"/>
      <c r="G8" s="10"/>
      <c r="H8" s="10"/>
      <c r="I8" s="35"/>
      <c r="J8" s="10"/>
      <c r="K8" s="10"/>
      <c r="L8" s="10"/>
      <c r="M8" s="35"/>
      <c r="N8" s="10"/>
      <c r="O8" s="35"/>
      <c r="P8" s="10"/>
      <c r="Q8" s="35"/>
      <c r="S8" s="2"/>
      <c r="T8" s="2"/>
      <c r="V8" s="10"/>
      <c r="W8" s="35"/>
      <c r="Y8" s="35"/>
    </row>
    <row r="9" spans="3:25" ht="12.75">
      <c r="C9" t="s">
        <v>56</v>
      </c>
      <c r="E9" s="19">
        <v>11475401</v>
      </c>
      <c r="F9" s="19"/>
      <c r="G9" s="19">
        <v>20000</v>
      </c>
      <c r="H9" s="19"/>
      <c r="I9" s="36">
        <f>+E9+G9</f>
        <v>11495401</v>
      </c>
      <c r="J9" s="19"/>
      <c r="K9" s="19">
        <f>+M9-Y9</f>
        <v>462094</v>
      </c>
      <c r="L9" s="19"/>
      <c r="M9" s="36">
        <f>+M39</f>
        <v>7057893</v>
      </c>
      <c r="N9" s="10"/>
      <c r="O9" s="36">
        <v>0</v>
      </c>
      <c r="P9" s="19"/>
      <c r="Q9" s="36">
        <f>+M9-I9-O9</f>
        <v>-4437508</v>
      </c>
      <c r="S9" s="6">
        <f>+(M9+O9)/I9</f>
        <v>0.6139753628429317</v>
      </c>
      <c r="T9" s="2"/>
      <c r="U9" s="29" t="s">
        <v>109</v>
      </c>
      <c r="V9" s="19"/>
      <c r="W9" s="36"/>
      <c r="Y9" s="36">
        <f>+Y39</f>
        <v>6595799</v>
      </c>
    </row>
    <row r="10" spans="5:25" ht="12.75">
      <c r="E10" s="10"/>
      <c r="F10" s="10"/>
      <c r="G10" s="10"/>
      <c r="H10" s="10"/>
      <c r="I10" s="35"/>
      <c r="J10" s="10"/>
      <c r="K10" s="10"/>
      <c r="L10" s="10"/>
      <c r="M10" s="35"/>
      <c r="N10" s="10"/>
      <c r="O10" s="35"/>
      <c r="P10" s="10"/>
      <c r="Q10" s="35"/>
      <c r="S10" s="6"/>
      <c r="T10" s="2"/>
      <c r="V10" s="10"/>
      <c r="W10" s="35"/>
      <c r="Y10" s="35"/>
    </row>
    <row r="11" spans="1:25" ht="12.75">
      <c r="A11" s="9" t="s">
        <v>8</v>
      </c>
      <c r="E11" s="22">
        <f>+E9</f>
        <v>11475401</v>
      </c>
      <c r="F11" s="23"/>
      <c r="G11" s="22">
        <f>+G9</f>
        <v>20000</v>
      </c>
      <c r="H11" s="23"/>
      <c r="I11" s="37">
        <f>+I9</f>
        <v>11495401</v>
      </c>
      <c r="J11" s="19"/>
      <c r="K11" s="22">
        <f>+K9</f>
        <v>462094</v>
      </c>
      <c r="L11" s="19"/>
      <c r="M11" s="37">
        <f>+M9</f>
        <v>7057893</v>
      </c>
      <c r="N11" s="10"/>
      <c r="O11" s="37">
        <f>+O9</f>
        <v>0</v>
      </c>
      <c r="P11" s="19"/>
      <c r="Q11" s="37">
        <f>+Q9</f>
        <v>-4437508</v>
      </c>
      <c r="S11" s="31">
        <f>+M11/I11</f>
        <v>0.6139753628429317</v>
      </c>
      <c r="T11" s="2"/>
      <c r="V11" s="23"/>
      <c r="W11" s="37"/>
      <c r="Y11" s="37">
        <f>+Y9</f>
        <v>6595799</v>
      </c>
    </row>
    <row r="12" spans="13:25" ht="12.75">
      <c r="M12" s="15"/>
      <c r="W12" s="15"/>
      <c r="Y12" s="15"/>
    </row>
    <row r="13" spans="1:25" ht="12.75">
      <c r="A13" s="9" t="s">
        <v>10</v>
      </c>
      <c r="I13" s="34"/>
      <c r="M13" s="34"/>
      <c r="O13" s="34"/>
      <c r="Q13" s="34"/>
      <c r="S13" s="6"/>
      <c r="T13" s="2"/>
      <c r="W13" s="34"/>
      <c r="Y13" s="34"/>
    </row>
    <row r="14" spans="2:27" ht="12.75">
      <c r="B14" t="s">
        <v>11</v>
      </c>
      <c r="E14" s="19">
        <v>55131</v>
      </c>
      <c r="F14" s="19"/>
      <c r="G14" s="19">
        <f>20000+12000</f>
        <v>32000</v>
      </c>
      <c r="H14" s="19"/>
      <c r="I14" s="36">
        <f>+E14+G14</f>
        <v>87131</v>
      </c>
      <c r="J14" s="19"/>
      <c r="K14" s="19">
        <f>+M14-Y14</f>
        <v>10622</v>
      </c>
      <c r="L14" s="19"/>
      <c r="M14" s="36">
        <v>59992</v>
      </c>
      <c r="N14" s="10"/>
      <c r="O14" s="36">
        <v>0</v>
      </c>
      <c r="P14" s="19"/>
      <c r="Q14" s="36">
        <f>+I14-M14-O14</f>
        <v>27139</v>
      </c>
      <c r="S14" s="6">
        <f>+(M14+O14)/I14</f>
        <v>0.6885264716346651</v>
      </c>
      <c r="T14" s="2"/>
      <c r="U14" s="29"/>
      <c r="V14" s="19"/>
      <c r="W14" s="36"/>
      <c r="Y14" s="36">
        <v>49370</v>
      </c>
      <c r="AA14" s="36">
        <v>43442</v>
      </c>
    </row>
    <row r="15" spans="5:27" ht="3" customHeight="1">
      <c r="E15" s="10"/>
      <c r="F15" s="10"/>
      <c r="G15" s="10"/>
      <c r="H15" s="10"/>
      <c r="I15" s="35"/>
      <c r="J15" s="10"/>
      <c r="K15" s="10"/>
      <c r="L15" s="10"/>
      <c r="M15" s="35"/>
      <c r="N15" s="10"/>
      <c r="O15" s="35"/>
      <c r="P15" s="10"/>
      <c r="Q15" s="35"/>
      <c r="S15" s="6"/>
      <c r="V15" s="10"/>
      <c r="W15" s="35"/>
      <c r="Y15" s="35"/>
      <c r="AA15" s="35"/>
    </row>
    <row r="16" spans="2:27" ht="12.75">
      <c r="B16" t="s">
        <v>12</v>
      </c>
      <c r="E16" s="10"/>
      <c r="F16" s="10"/>
      <c r="G16" s="10"/>
      <c r="H16" s="10"/>
      <c r="I16" s="35"/>
      <c r="J16" s="10"/>
      <c r="K16" s="10"/>
      <c r="L16" s="10"/>
      <c r="M16" s="35"/>
      <c r="N16" s="10"/>
      <c r="O16" s="35"/>
      <c r="P16" s="10"/>
      <c r="Q16" s="35"/>
      <c r="S16" s="6"/>
      <c r="V16" s="10"/>
      <c r="W16" s="35"/>
      <c r="Y16" s="35"/>
      <c r="AA16" s="35"/>
    </row>
    <row r="17" spans="3:27" ht="12.75">
      <c r="C17" t="s">
        <v>13</v>
      </c>
      <c r="E17" s="10">
        <v>135000</v>
      </c>
      <c r="F17" s="10"/>
      <c r="G17" s="10">
        <v>0</v>
      </c>
      <c r="H17" s="10"/>
      <c r="I17" s="35">
        <f>+E17+G17</f>
        <v>135000</v>
      </c>
      <c r="J17" s="10"/>
      <c r="K17" s="10">
        <f>+M17-Y17</f>
        <v>0</v>
      </c>
      <c r="L17" s="10"/>
      <c r="M17" s="35">
        <v>113911</v>
      </c>
      <c r="N17" s="10"/>
      <c r="O17" s="35">
        <v>0</v>
      </c>
      <c r="P17" s="10"/>
      <c r="Q17" s="35">
        <f>+I17-M17-O17</f>
        <v>21089</v>
      </c>
      <c r="S17" s="6">
        <f>+(M17+O17)/I17</f>
        <v>0.8437851851851852</v>
      </c>
      <c r="U17" s="29" t="s">
        <v>115</v>
      </c>
      <c r="V17" s="10"/>
      <c r="W17" s="35"/>
      <c r="Y17" s="35">
        <v>113911</v>
      </c>
      <c r="AA17" s="35">
        <v>113911</v>
      </c>
    </row>
    <row r="18" spans="3:27" ht="12.75">
      <c r="C18" t="s">
        <v>42</v>
      </c>
      <c r="E18" s="10">
        <v>1000</v>
      </c>
      <c r="F18" s="10"/>
      <c r="G18" s="10">
        <v>0</v>
      </c>
      <c r="H18" s="10"/>
      <c r="I18" s="35">
        <f aca="true" t="shared" si="0" ref="I18:I35">+E18+G18</f>
        <v>1000</v>
      </c>
      <c r="J18" s="10"/>
      <c r="K18" s="10">
        <f aca="true" t="shared" si="1" ref="K18:K35">+M18-Y18</f>
        <v>0</v>
      </c>
      <c r="L18" s="10"/>
      <c r="M18" s="35">
        <v>240</v>
      </c>
      <c r="N18" s="10"/>
      <c r="O18" s="35">
        <v>0</v>
      </c>
      <c r="P18" s="10"/>
      <c r="Q18" s="35">
        <f aca="true" t="shared" si="2" ref="Q18:Q35">+I18-M18-O18</f>
        <v>760</v>
      </c>
      <c r="S18" s="6">
        <f aca="true" t="shared" si="3" ref="S18:S35">+(M18+O18)/I18</f>
        <v>0.24</v>
      </c>
      <c r="U18" s="30"/>
      <c r="V18" s="10"/>
      <c r="W18" s="35"/>
      <c r="Y18" s="35">
        <v>240</v>
      </c>
      <c r="AA18" s="35">
        <v>240</v>
      </c>
    </row>
    <row r="19" spans="3:27" ht="12.75">
      <c r="C19" t="s">
        <v>14</v>
      </c>
      <c r="E19" s="10">
        <v>1000</v>
      </c>
      <c r="F19" s="10"/>
      <c r="G19" s="10">
        <v>0</v>
      </c>
      <c r="H19" s="10"/>
      <c r="I19" s="35">
        <f t="shared" si="0"/>
        <v>1000</v>
      </c>
      <c r="J19" s="10"/>
      <c r="K19" s="10">
        <f t="shared" si="1"/>
        <v>6</v>
      </c>
      <c r="L19" s="10"/>
      <c r="M19" s="35">
        <v>640</v>
      </c>
      <c r="N19" s="10"/>
      <c r="O19" s="35">
        <v>0</v>
      </c>
      <c r="P19" s="10"/>
      <c r="Q19" s="35">
        <f t="shared" si="2"/>
        <v>360</v>
      </c>
      <c r="S19" s="6">
        <f t="shared" si="3"/>
        <v>0.64</v>
      </c>
      <c r="U19" s="30"/>
      <c r="V19" s="10"/>
      <c r="W19" s="35"/>
      <c r="Y19" s="35">
        <v>634</v>
      </c>
      <c r="AA19" s="35">
        <v>532</v>
      </c>
    </row>
    <row r="20" spans="3:27" ht="12.75">
      <c r="C20" t="s">
        <v>54</v>
      </c>
      <c r="E20" s="10">
        <v>375000</v>
      </c>
      <c r="F20" s="10"/>
      <c r="G20" s="10">
        <v>0</v>
      </c>
      <c r="H20" s="10"/>
      <c r="I20" s="35">
        <f t="shared" si="0"/>
        <v>375000</v>
      </c>
      <c r="J20" s="10"/>
      <c r="K20" s="10">
        <f t="shared" si="1"/>
        <v>33788</v>
      </c>
      <c r="L20" s="10"/>
      <c r="M20" s="35">
        <v>300383</v>
      </c>
      <c r="N20" s="10"/>
      <c r="O20" s="35">
        <v>74617.52</v>
      </c>
      <c r="P20" s="10"/>
      <c r="Q20" s="35">
        <f t="shared" si="2"/>
        <v>-0.5200000000040745</v>
      </c>
      <c r="S20" s="6">
        <f t="shared" si="3"/>
        <v>1.0000013866666668</v>
      </c>
      <c r="U20" s="30" t="s">
        <v>77</v>
      </c>
      <c r="V20" s="10"/>
      <c r="W20" s="35"/>
      <c r="Y20" s="35">
        <v>266595</v>
      </c>
      <c r="AA20" s="35">
        <v>233380</v>
      </c>
    </row>
    <row r="21" spans="3:27" ht="12.75">
      <c r="C21" t="s">
        <v>15</v>
      </c>
      <c r="E21" s="10">
        <v>320000</v>
      </c>
      <c r="F21" s="10"/>
      <c r="G21" s="10">
        <v>0</v>
      </c>
      <c r="H21" s="10"/>
      <c r="I21" s="35">
        <f t="shared" si="0"/>
        <v>320000</v>
      </c>
      <c r="J21" s="10"/>
      <c r="K21" s="10">
        <f t="shared" si="1"/>
        <v>28389</v>
      </c>
      <c r="L21" s="10"/>
      <c r="M21" s="35">
        <v>215163</v>
      </c>
      <c r="N21" s="10"/>
      <c r="O21" s="35">
        <v>157203.22</v>
      </c>
      <c r="P21" s="10"/>
      <c r="Q21" s="35">
        <f t="shared" si="2"/>
        <v>-52366.22</v>
      </c>
      <c r="S21" s="16">
        <f t="shared" si="3"/>
        <v>1.1636444375</v>
      </c>
      <c r="T21" s="13"/>
      <c r="U21" s="162" t="s">
        <v>117</v>
      </c>
      <c r="V21" s="10"/>
      <c r="W21" s="35"/>
      <c r="Y21" s="35">
        <v>186774</v>
      </c>
      <c r="AA21" s="35">
        <v>147560</v>
      </c>
    </row>
    <row r="22" spans="3:27" ht="12.75">
      <c r="C22" t="s">
        <v>43</v>
      </c>
      <c r="E22" s="10">
        <v>4800</v>
      </c>
      <c r="F22" s="10"/>
      <c r="G22" s="10">
        <v>0</v>
      </c>
      <c r="H22" s="10"/>
      <c r="I22" s="35">
        <f t="shared" si="0"/>
        <v>4800</v>
      </c>
      <c r="J22" s="10"/>
      <c r="K22" s="10">
        <f t="shared" si="1"/>
        <v>400</v>
      </c>
      <c r="L22" s="10"/>
      <c r="M22" s="35">
        <v>3400</v>
      </c>
      <c r="N22" s="10"/>
      <c r="O22" s="35">
        <v>0</v>
      </c>
      <c r="P22" s="10"/>
      <c r="Q22" s="35">
        <f t="shared" si="2"/>
        <v>1400</v>
      </c>
      <c r="S22" s="6">
        <f t="shared" si="3"/>
        <v>0.7083333333333334</v>
      </c>
      <c r="U22" s="30"/>
      <c r="V22" s="10"/>
      <c r="W22" s="35"/>
      <c r="Y22" s="35">
        <v>3000</v>
      </c>
      <c r="AA22" s="35">
        <v>3000</v>
      </c>
    </row>
    <row r="23" spans="3:27" ht="12.75">
      <c r="C23" t="s">
        <v>44</v>
      </c>
      <c r="E23" s="10">
        <v>125000</v>
      </c>
      <c r="F23" s="10"/>
      <c r="G23" s="10">
        <v>0</v>
      </c>
      <c r="H23" s="10"/>
      <c r="I23" s="35">
        <f t="shared" si="0"/>
        <v>125000</v>
      </c>
      <c r="J23" s="10"/>
      <c r="K23" s="10">
        <f t="shared" si="1"/>
        <v>2856</v>
      </c>
      <c r="L23" s="10"/>
      <c r="M23" s="35">
        <v>44594</v>
      </c>
      <c r="N23" s="10"/>
      <c r="O23" s="35">
        <v>0</v>
      </c>
      <c r="P23" s="10"/>
      <c r="Q23" s="35">
        <f t="shared" si="2"/>
        <v>80406</v>
      </c>
      <c r="S23" s="6">
        <f t="shared" si="3"/>
        <v>0.356752</v>
      </c>
      <c r="U23" s="162" t="s">
        <v>111</v>
      </c>
      <c r="V23" s="10"/>
      <c r="W23" s="35"/>
      <c r="Y23" s="35">
        <v>41738</v>
      </c>
      <c r="AA23" s="35">
        <v>40538</v>
      </c>
    </row>
    <row r="24" spans="3:27" ht="12.75">
      <c r="C24" t="s">
        <v>45</v>
      </c>
      <c r="E24" s="10">
        <v>4713160</v>
      </c>
      <c r="F24" s="10"/>
      <c r="G24" s="10">
        <v>0</v>
      </c>
      <c r="H24" s="10"/>
      <c r="I24" s="35">
        <f t="shared" si="0"/>
        <v>4713160</v>
      </c>
      <c r="J24" s="10"/>
      <c r="K24" s="10">
        <f t="shared" si="1"/>
        <v>385157</v>
      </c>
      <c r="L24" s="10"/>
      <c r="M24" s="44">
        <v>3163667</v>
      </c>
      <c r="N24" s="10"/>
      <c r="O24" s="35">
        <v>1549493.15</v>
      </c>
      <c r="P24" s="10"/>
      <c r="Q24" s="35">
        <f t="shared" si="2"/>
        <v>-0.14999999990686774</v>
      </c>
      <c r="S24" s="6">
        <f t="shared" si="3"/>
        <v>1.0000000318257816</v>
      </c>
      <c r="U24" s="30" t="s">
        <v>77</v>
      </c>
      <c r="V24" s="10"/>
      <c r="W24" s="44"/>
      <c r="Y24" s="44">
        <v>2778510</v>
      </c>
      <c r="AA24" s="44">
        <v>2178202.88</v>
      </c>
    </row>
    <row r="25" spans="3:27" ht="12.75">
      <c r="C25" t="s">
        <v>46</v>
      </c>
      <c r="E25" s="10">
        <v>5066320</v>
      </c>
      <c r="F25" s="10"/>
      <c r="G25" s="10">
        <v>0</v>
      </c>
      <c r="H25" s="10"/>
      <c r="I25" s="35">
        <f t="shared" si="0"/>
        <v>5066320</v>
      </c>
      <c r="J25" s="10"/>
      <c r="K25" s="10">
        <f t="shared" si="1"/>
        <v>0</v>
      </c>
      <c r="L25" s="10"/>
      <c r="M25" s="35">
        <v>2964945</v>
      </c>
      <c r="N25" s="10"/>
      <c r="O25" s="35">
        <v>2101375</v>
      </c>
      <c r="P25" s="10"/>
      <c r="Q25" s="35">
        <f t="shared" si="2"/>
        <v>0</v>
      </c>
      <c r="S25" s="6">
        <f t="shared" si="3"/>
        <v>1</v>
      </c>
      <c r="U25" s="30" t="s">
        <v>77</v>
      </c>
      <c r="V25" s="10"/>
      <c r="W25" s="35"/>
      <c r="Y25" s="35">
        <v>2964945</v>
      </c>
      <c r="AA25" s="35">
        <v>2657003.15</v>
      </c>
    </row>
    <row r="26" spans="3:27" ht="12.75">
      <c r="C26" t="s">
        <v>47</v>
      </c>
      <c r="E26" s="10">
        <v>560000</v>
      </c>
      <c r="F26" s="10"/>
      <c r="G26" s="10">
        <v>-12000</v>
      </c>
      <c r="H26" s="10"/>
      <c r="I26" s="35">
        <f>+E26+G26</f>
        <v>548000</v>
      </c>
      <c r="J26" s="10"/>
      <c r="K26" s="10">
        <f t="shared" si="1"/>
        <v>0</v>
      </c>
      <c r="L26" s="10"/>
      <c r="M26" s="44">
        <v>143273</v>
      </c>
      <c r="N26" s="10"/>
      <c r="O26" s="35">
        <v>269389.33</v>
      </c>
      <c r="P26" s="10"/>
      <c r="Q26" s="35">
        <f t="shared" si="2"/>
        <v>135337.66999999998</v>
      </c>
      <c r="S26" s="16">
        <f t="shared" si="3"/>
        <v>0.7530334489051095</v>
      </c>
      <c r="U26" s="30" t="s">
        <v>118</v>
      </c>
      <c r="V26" s="10"/>
      <c r="W26" s="44"/>
      <c r="Y26" s="44">
        <v>143273</v>
      </c>
      <c r="AA26" s="44">
        <v>142610.67</v>
      </c>
    </row>
    <row r="27" spans="3:27" ht="12.75">
      <c r="C27" t="s">
        <v>48</v>
      </c>
      <c r="E27" s="10">
        <v>5000</v>
      </c>
      <c r="F27" s="10"/>
      <c r="G27" s="10">
        <v>0</v>
      </c>
      <c r="H27" s="10"/>
      <c r="I27" s="35">
        <f t="shared" si="0"/>
        <v>5000</v>
      </c>
      <c r="J27" s="10"/>
      <c r="K27" s="10">
        <f t="shared" si="1"/>
        <v>0</v>
      </c>
      <c r="L27" s="10"/>
      <c r="M27" s="35">
        <v>1152</v>
      </c>
      <c r="N27" s="10"/>
      <c r="O27" s="35">
        <v>0</v>
      </c>
      <c r="P27" s="10"/>
      <c r="Q27" s="35">
        <f t="shared" si="2"/>
        <v>3848</v>
      </c>
      <c r="S27" s="6">
        <f t="shared" si="3"/>
        <v>0.2304</v>
      </c>
      <c r="U27" s="30"/>
      <c r="V27" s="10"/>
      <c r="W27" s="35"/>
      <c r="Y27" s="35">
        <v>1152</v>
      </c>
      <c r="AA27" s="35">
        <v>1151.7</v>
      </c>
    </row>
    <row r="28" spans="3:27" ht="12.75">
      <c r="C28" t="s">
        <v>16</v>
      </c>
      <c r="E28" s="10">
        <v>750</v>
      </c>
      <c r="F28" s="10"/>
      <c r="G28" s="10">
        <v>0</v>
      </c>
      <c r="H28" s="10"/>
      <c r="I28" s="35">
        <f t="shared" si="0"/>
        <v>750</v>
      </c>
      <c r="J28" s="10"/>
      <c r="K28" s="10">
        <f t="shared" si="1"/>
        <v>0</v>
      </c>
      <c r="L28" s="10"/>
      <c r="M28" s="35">
        <v>407</v>
      </c>
      <c r="N28" s="10"/>
      <c r="O28" s="35">
        <v>0</v>
      </c>
      <c r="P28" s="10"/>
      <c r="Q28" s="35">
        <f t="shared" si="2"/>
        <v>343</v>
      </c>
      <c r="S28" s="6">
        <f t="shared" si="3"/>
        <v>0.5426666666666666</v>
      </c>
      <c r="U28" s="30"/>
      <c r="V28" s="10"/>
      <c r="W28" s="35"/>
      <c r="Y28" s="35">
        <v>407</v>
      </c>
      <c r="AA28" s="35">
        <v>406.94</v>
      </c>
    </row>
    <row r="29" spans="3:27" ht="12.75">
      <c r="C29" t="s">
        <v>49</v>
      </c>
      <c r="E29" s="10">
        <v>8000</v>
      </c>
      <c r="F29" s="10"/>
      <c r="G29" s="10">
        <v>0</v>
      </c>
      <c r="H29" s="10"/>
      <c r="I29" s="35">
        <f t="shared" si="0"/>
        <v>8000</v>
      </c>
      <c r="J29" s="10"/>
      <c r="K29" s="10">
        <f t="shared" si="1"/>
        <v>0</v>
      </c>
      <c r="L29" s="10"/>
      <c r="M29" s="35">
        <v>2525</v>
      </c>
      <c r="N29" s="10"/>
      <c r="O29" s="35">
        <v>0</v>
      </c>
      <c r="P29" s="10"/>
      <c r="Q29" s="35">
        <f t="shared" si="2"/>
        <v>5475</v>
      </c>
      <c r="S29" s="6">
        <f t="shared" si="3"/>
        <v>0.315625</v>
      </c>
      <c r="U29" s="30"/>
      <c r="V29" s="10"/>
      <c r="W29" s="35"/>
      <c r="Y29" s="35">
        <v>2525</v>
      </c>
      <c r="AA29" s="35">
        <v>2300.7</v>
      </c>
    </row>
    <row r="30" spans="3:27" ht="12.75">
      <c r="C30" t="s">
        <v>17</v>
      </c>
      <c r="E30" s="10">
        <v>1000</v>
      </c>
      <c r="F30" s="10"/>
      <c r="G30" s="10">
        <v>0</v>
      </c>
      <c r="H30" s="10"/>
      <c r="I30" s="35">
        <f t="shared" si="0"/>
        <v>1000</v>
      </c>
      <c r="J30" s="10"/>
      <c r="K30" s="10">
        <f t="shared" si="1"/>
        <v>0</v>
      </c>
      <c r="L30" s="10"/>
      <c r="M30" s="35">
        <v>20</v>
      </c>
      <c r="N30" s="10"/>
      <c r="O30" s="35">
        <v>0</v>
      </c>
      <c r="P30" s="10"/>
      <c r="Q30" s="35">
        <f t="shared" si="2"/>
        <v>980</v>
      </c>
      <c r="S30" s="6">
        <f t="shared" si="3"/>
        <v>0.02</v>
      </c>
      <c r="U30" s="30"/>
      <c r="V30" s="10"/>
      <c r="W30" s="35"/>
      <c r="Y30" s="35">
        <v>20</v>
      </c>
      <c r="AA30" s="35">
        <v>0</v>
      </c>
    </row>
    <row r="31" spans="3:27" ht="12.75">
      <c r="C31" t="s">
        <v>50</v>
      </c>
      <c r="E31" s="10">
        <v>75000</v>
      </c>
      <c r="F31" s="10"/>
      <c r="G31" s="10">
        <v>0</v>
      </c>
      <c r="H31" s="10"/>
      <c r="I31" s="35">
        <f t="shared" si="0"/>
        <v>75000</v>
      </c>
      <c r="J31" s="10"/>
      <c r="K31" s="10">
        <f t="shared" si="1"/>
        <v>876</v>
      </c>
      <c r="L31" s="10"/>
      <c r="M31" s="35">
        <v>23961</v>
      </c>
      <c r="N31" s="10"/>
      <c r="O31" s="35">
        <v>0</v>
      </c>
      <c r="P31" s="10"/>
      <c r="Q31" s="35">
        <f t="shared" si="2"/>
        <v>51039</v>
      </c>
      <c r="S31" s="6">
        <f t="shared" si="3"/>
        <v>0.31948</v>
      </c>
      <c r="U31" s="30"/>
      <c r="V31" s="10"/>
      <c r="W31" s="35"/>
      <c r="Y31" s="35">
        <v>23085</v>
      </c>
      <c r="AA31" s="35">
        <v>23085.47</v>
      </c>
    </row>
    <row r="32" spans="3:27" ht="12.75">
      <c r="C32" t="s">
        <v>51</v>
      </c>
      <c r="D32" s="13"/>
      <c r="E32" s="10">
        <v>18000</v>
      </c>
      <c r="F32" s="10"/>
      <c r="G32" s="10">
        <v>0</v>
      </c>
      <c r="H32" s="10"/>
      <c r="I32" s="35">
        <f t="shared" si="0"/>
        <v>18000</v>
      </c>
      <c r="J32" s="10"/>
      <c r="K32" s="10">
        <f t="shared" si="1"/>
        <v>0</v>
      </c>
      <c r="L32" s="10"/>
      <c r="M32" s="35">
        <v>19410</v>
      </c>
      <c r="N32" s="10"/>
      <c r="O32" s="35">
        <v>0</v>
      </c>
      <c r="P32" s="10"/>
      <c r="Q32" s="35">
        <f t="shared" si="2"/>
        <v>-1410</v>
      </c>
      <c r="S32" s="16">
        <f t="shared" si="3"/>
        <v>1.0783333333333334</v>
      </c>
      <c r="U32" s="162" t="s">
        <v>110</v>
      </c>
      <c r="V32" s="10"/>
      <c r="W32" s="35"/>
      <c r="Y32" s="35">
        <v>19410</v>
      </c>
      <c r="AA32" s="35">
        <v>19410</v>
      </c>
    </row>
    <row r="33" spans="3:27" ht="12.75">
      <c r="C33" t="s">
        <v>52</v>
      </c>
      <c r="E33" s="10">
        <v>240</v>
      </c>
      <c r="F33" s="10"/>
      <c r="G33" s="10">
        <v>0</v>
      </c>
      <c r="H33" s="10"/>
      <c r="I33" s="35">
        <f t="shared" si="0"/>
        <v>240</v>
      </c>
      <c r="J33" s="10"/>
      <c r="K33" s="10">
        <f t="shared" si="1"/>
        <v>0</v>
      </c>
      <c r="L33" s="10"/>
      <c r="M33" s="35">
        <v>150</v>
      </c>
      <c r="N33" s="10"/>
      <c r="O33" s="35">
        <v>0</v>
      </c>
      <c r="P33" s="10"/>
      <c r="Q33" s="35">
        <f t="shared" si="2"/>
        <v>90</v>
      </c>
      <c r="S33" s="6">
        <f t="shared" si="3"/>
        <v>0.625</v>
      </c>
      <c r="U33" s="30"/>
      <c r="V33" s="10"/>
      <c r="W33" s="35"/>
      <c r="Y33" s="35">
        <v>150</v>
      </c>
      <c r="AA33" s="35">
        <v>108.43</v>
      </c>
    </row>
    <row r="34" spans="3:27" ht="12.75">
      <c r="C34" t="s">
        <v>18</v>
      </c>
      <c r="E34" s="10">
        <v>10000</v>
      </c>
      <c r="F34" s="12"/>
      <c r="G34" s="12">
        <v>0</v>
      </c>
      <c r="H34" s="12"/>
      <c r="I34" s="40">
        <f>+E34+G34</f>
        <v>10000</v>
      </c>
      <c r="J34" s="12"/>
      <c r="K34" s="10">
        <f t="shared" si="1"/>
        <v>0</v>
      </c>
      <c r="L34" s="12"/>
      <c r="M34" s="40">
        <v>0</v>
      </c>
      <c r="N34" s="10"/>
      <c r="O34" s="40">
        <v>0</v>
      </c>
      <c r="P34" s="12"/>
      <c r="Q34" s="35">
        <f t="shared" si="2"/>
        <v>10000</v>
      </c>
      <c r="R34" s="3"/>
      <c r="S34" s="6">
        <f t="shared" si="3"/>
        <v>0</v>
      </c>
      <c r="U34" s="30"/>
      <c r="V34" s="12"/>
      <c r="W34" s="40"/>
      <c r="Y34" s="40">
        <v>0</v>
      </c>
      <c r="AA34" s="40">
        <v>0</v>
      </c>
    </row>
    <row r="35" spans="3:27" ht="12.75">
      <c r="C35" t="s">
        <v>53</v>
      </c>
      <c r="E35" s="11">
        <v>1000</v>
      </c>
      <c r="F35" s="10"/>
      <c r="G35" s="11">
        <v>0</v>
      </c>
      <c r="H35" s="10"/>
      <c r="I35" s="41">
        <f t="shared" si="0"/>
        <v>1000</v>
      </c>
      <c r="J35" s="10"/>
      <c r="K35" s="11">
        <f t="shared" si="1"/>
        <v>0</v>
      </c>
      <c r="L35" s="10"/>
      <c r="M35" s="41">
        <v>60</v>
      </c>
      <c r="N35" s="10"/>
      <c r="O35" s="41">
        <v>0</v>
      </c>
      <c r="P35" s="10"/>
      <c r="Q35" s="41">
        <f t="shared" si="2"/>
        <v>940</v>
      </c>
      <c r="S35" s="103">
        <f t="shared" si="3"/>
        <v>0.06</v>
      </c>
      <c r="U35" s="30"/>
      <c r="V35" s="12"/>
      <c r="W35" s="41"/>
      <c r="Y35" s="41">
        <v>60</v>
      </c>
      <c r="AA35" s="41">
        <v>60.14</v>
      </c>
    </row>
    <row r="36" spans="4:27" s="1" customFormat="1" ht="12.75">
      <c r="D36" s="1" t="s">
        <v>19</v>
      </c>
      <c r="E36" s="12">
        <f>SUM(E17:E35)</f>
        <v>11420270</v>
      </c>
      <c r="F36" s="12"/>
      <c r="G36" s="12">
        <f>SUM(G17:G35)</f>
        <v>-12000</v>
      </c>
      <c r="H36" s="12"/>
      <c r="I36" s="40">
        <f>SUM(I17:I35)</f>
        <v>11408270</v>
      </c>
      <c r="J36" s="12"/>
      <c r="K36" s="12">
        <f>SUM(K17:K35)</f>
        <v>451472</v>
      </c>
      <c r="L36" s="12"/>
      <c r="M36" s="40">
        <f>SUM(M17:M35)</f>
        <v>6997901</v>
      </c>
      <c r="N36" s="12"/>
      <c r="O36" s="40">
        <f>SUM(O17:O35)</f>
        <v>4152078.2199999997</v>
      </c>
      <c r="P36" s="12"/>
      <c r="Q36" s="40">
        <f>SUM(Q17:Q35)</f>
        <v>258290.7800000001</v>
      </c>
      <c r="R36" s="3"/>
      <c r="S36" s="6"/>
      <c r="V36" s="12"/>
      <c r="W36" s="40"/>
      <c r="Y36" s="40">
        <f>SUM(Y17:Y35)</f>
        <v>6546429</v>
      </c>
      <c r="AA36" s="40">
        <f>SUM(AA17:AA35)</f>
        <v>5563501.079999999</v>
      </c>
    </row>
    <row r="37" spans="9:27" ht="3" customHeight="1">
      <c r="I37" s="34"/>
      <c r="M37" s="34"/>
      <c r="O37" s="34"/>
      <c r="Q37" s="34"/>
      <c r="S37" s="6"/>
      <c r="W37" s="34"/>
      <c r="Y37" s="34"/>
      <c r="AA37" s="34"/>
    </row>
    <row r="38" spans="5:27" ht="12.75">
      <c r="E38" s="10"/>
      <c r="F38" s="10"/>
      <c r="G38" s="10"/>
      <c r="H38" s="10"/>
      <c r="I38" s="35"/>
      <c r="J38" s="10"/>
      <c r="K38" s="10"/>
      <c r="L38" s="10"/>
      <c r="M38" s="35"/>
      <c r="N38" s="10"/>
      <c r="O38" s="35"/>
      <c r="P38" s="10"/>
      <c r="Q38" s="35"/>
      <c r="S38" s="6"/>
      <c r="V38" s="10"/>
      <c r="W38" s="35"/>
      <c r="Y38" s="35"/>
      <c r="AA38" s="35"/>
    </row>
    <row r="39" spans="1:27" ht="12.75">
      <c r="A39" s="9" t="s">
        <v>20</v>
      </c>
      <c r="E39" s="20">
        <f>+E14+E36</f>
        <v>11475401</v>
      </c>
      <c r="F39" s="21"/>
      <c r="G39" s="20">
        <f>+G14+G36</f>
        <v>20000</v>
      </c>
      <c r="H39" s="21"/>
      <c r="I39" s="42">
        <f>+E39+G39</f>
        <v>11495401</v>
      </c>
      <c r="J39" s="21"/>
      <c r="K39" s="20">
        <f>+M39-Y39</f>
        <v>462094</v>
      </c>
      <c r="L39" s="21"/>
      <c r="M39" s="42">
        <f>+M36+M14</f>
        <v>7057893</v>
      </c>
      <c r="N39" s="10"/>
      <c r="O39" s="37">
        <f>+O14+O36</f>
        <v>4152078.2199999997</v>
      </c>
      <c r="P39" s="21"/>
      <c r="Q39" s="42">
        <f>+I39-M39</f>
        <v>4437508</v>
      </c>
      <c r="S39" s="31">
        <f>+(M39+O39)/I39</f>
        <v>0.9751700893252875</v>
      </c>
      <c r="U39" t="s">
        <v>78</v>
      </c>
      <c r="V39" s="23"/>
      <c r="W39" s="42"/>
      <c r="Y39" s="42">
        <f>+Y36+Y14</f>
        <v>6595799</v>
      </c>
      <c r="AA39" s="42">
        <f>+AA36+AA14</f>
        <v>5606943.079999999</v>
      </c>
    </row>
    <row r="40" spans="1:27" s="13" customFormat="1" ht="12.75">
      <c r="A40" s="17"/>
      <c r="E40" s="14"/>
      <c r="F40" s="14"/>
      <c r="G40" s="14"/>
      <c r="H40" s="14"/>
      <c r="I40" s="35"/>
      <c r="J40" s="14"/>
      <c r="K40" s="14"/>
      <c r="L40" s="14"/>
      <c r="M40" s="35"/>
      <c r="N40" s="14"/>
      <c r="O40" s="35"/>
      <c r="P40" s="14"/>
      <c r="Q40" s="35"/>
      <c r="R40" s="15"/>
      <c r="S40" s="16"/>
      <c r="V40" s="14"/>
      <c r="W40" s="35"/>
      <c r="Y40" s="35"/>
      <c r="AA40" s="35"/>
    </row>
    <row r="41" spans="1:25" ht="13.5" thickBot="1">
      <c r="A41" s="9" t="s">
        <v>21</v>
      </c>
      <c r="E41" s="12"/>
      <c r="F41" s="12"/>
      <c r="G41" s="12"/>
      <c r="H41" s="10"/>
      <c r="I41" s="43">
        <f>+I11-I39</f>
        <v>0</v>
      </c>
      <c r="J41" s="19"/>
      <c r="K41" s="24">
        <f>+K11-K39</f>
        <v>0</v>
      </c>
      <c r="L41" s="19"/>
      <c r="M41" s="43">
        <f>+M11-M39</f>
        <v>0</v>
      </c>
      <c r="N41" s="12"/>
      <c r="O41" s="40"/>
      <c r="P41" s="19"/>
      <c r="Q41" s="43">
        <f>+Q39+Q11</f>
        <v>0</v>
      </c>
      <c r="S41" s="6"/>
      <c r="V41" s="12"/>
      <c r="W41" s="43"/>
      <c r="Y41" s="43">
        <f>+Y11-Y39</f>
        <v>0</v>
      </c>
    </row>
    <row r="42" spans="5:25" ht="13.5" thickTop="1">
      <c r="E42" s="10"/>
      <c r="F42" s="10"/>
      <c r="G42" s="10"/>
      <c r="H42" s="10"/>
      <c r="I42" s="10"/>
      <c r="J42" s="10"/>
      <c r="K42" s="10"/>
      <c r="L42" s="10"/>
      <c r="M42" s="14"/>
      <c r="N42" s="10"/>
      <c r="O42" s="10"/>
      <c r="P42" s="10"/>
      <c r="Q42" s="10"/>
      <c r="S42" s="6"/>
      <c r="V42" s="10"/>
      <c r="W42" s="14"/>
      <c r="Y42" s="14"/>
    </row>
    <row r="43" ht="12.75">
      <c r="S43" s="6"/>
    </row>
    <row r="44" ht="12.75">
      <c r="S44" s="6"/>
    </row>
    <row r="45" spans="13:25" ht="12.75">
      <c r="M45" s="25" t="s">
        <v>39</v>
      </c>
      <c r="Q45" s="2">
        <f>+Q39-O39</f>
        <v>285429.78000000026</v>
      </c>
      <c r="S45" s="6"/>
      <c r="W45" s="25"/>
      <c r="Y45" s="25" t="s">
        <v>39</v>
      </c>
    </row>
    <row r="46" ht="12.75">
      <c r="S46" s="6"/>
    </row>
    <row r="47" ht="12.75">
      <c r="S47" s="6"/>
    </row>
    <row r="48" ht="12.75">
      <c r="S48" s="6"/>
    </row>
    <row r="49" ht="12.75">
      <c r="S49" s="6"/>
    </row>
    <row r="50" spans="5:19" ht="12.75">
      <c r="E50" s="175"/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  <row r="63" ht="12.75">
      <c r="S63" s="6"/>
    </row>
    <row r="64" ht="12.75">
      <c r="S64" s="6"/>
    </row>
    <row r="65" ht="12.75">
      <c r="S65" s="6"/>
    </row>
    <row r="66" ht="12.75">
      <c r="S66" s="6"/>
    </row>
    <row r="67" ht="12.75">
      <c r="S67" s="6"/>
    </row>
    <row r="68" ht="12.75">
      <c r="S68" s="6"/>
    </row>
    <row r="69" ht="12.75">
      <c r="S69" s="6"/>
    </row>
    <row r="70" ht="12.75">
      <c r="S70" s="6"/>
    </row>
    <row r="71" ht="12.75">
      <c r="S71" s="6"/>
    </row>
    <row r="72" ht="12.75">
      <c r="S72" s="6"/>
    </row>
    <row r="73" ht="12.75">
      <c r="S73" s="6"/>
    </row>
    <row r="74" ht="12.75">
      <c r="S74" s="6"/>
    </row>
    <row r="75" ht="12.75">
      <c r="S75" s="6"/>
    </row>
    <row r="76" ht="12.75">
      <c r="S76" s="6"/>
    </row>
    <row r="77" ht="12.75">
      <c r="S77" s="6"/>
    </row>
    <row r="78" ht="12.75">
      <c r="S78" s="6"/>
    </row>
    <row r="79" ht="12.75">
      <c r="S79" s="6"/>
    </row>
    <row r="80" ht="12.75">
      <c r="S80" s="6"/>
    </row>
    <row r="81" ht="12.75">
      <c r="S81" s="6"/>
    </row>
    <row r="82" ht="12.75">
      <c r="S82" s="6"/>
    </row>
    <row r="83" ht="12.75">
      <c r="S83" s="6"/>
    </row>
  </sheetData>
  <printOptions/>
  <pageMargins left="0.36" right="0.27" top="0.5" bottom="0.33" header="0.5" footer="0.23"/>
  <pageSetup fitToHeight="1" fitToWidth="1" horizontalDpi="200" verticalDpi="200" orientation="landscape" paperSize="5" scale="82" r:id="rId3"/>
  <headerFooter alignWithMargins="0">
    <oddFooter>&amp;CPage &amp;P of &amp;N&amp;RTS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62"/>
  <sheetViews>
    <sheetView view="pageBreakPreview" zoomScaleNormal="70" zoomScaleSheetLayoutView="100" workbookViewId="0" topLeftCell="E1">
      <selection activeCell="M15" sqref="M15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3.28125" style="2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2.7109375" style="2" customWidth="1"/>
  </cols>
  <sheetData>
    <row r="1" spans="1:24" ht="15.75">
      <c r="A1" s="18" t="s">
        <v>67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01"/>
      <c r="Q1" s="18"/>
      <c r="R1" s="18"/>
      <c r="S1" s="18"/>
      <c r="T1" s="18"/>
      <c r="U1" s="18"/>
      <c r="V1" s="18"/>
      <c r="X1" s="18"/>
    </row>
    <row r="2" spans="1:2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1"/>
      <c r="Q2" s="18"/>
      <c r="R2" s="18"/>
      <c r="S2" s="18"/>
      <c r="T2" s="18"/>
      <c r="U2" s="18"/>
      <c r="V2" s="18"/>
      <c r="X2" s="18"/>
    </row>
    <row r="3" spans="1:24" ht="15.75">
      <c r="A3" s="18" t="str">
        <f>+'40800'!A3</f>
        <v>For the Month of April 2009 (Target = 83% of budget)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01"/>
      <c r="Q3" s="18"/>
      <c r="R3" s="18"/>
      <c r="S3" s="18"/>
      <c r="T3" s="18"/>
      <c r="U3" s="18"/>
      <c r="V3" s="18"/>
      <c r="X3" s="18"/>
    </row>
    <row r="4" spans="15:16" ht="33" customHeight="1">
      <c r="O4" s="5"/>
      <c r="P4" s="46"/>
    </row>
    <row r="5" spans="5:24" ht="12.75">
      <c r="E5" s="4" t="s">
        <v>2</v>
      </c>
      <c r="F5" s="4"/>
      <c r="G5" s="4" t="s">
        <v>4</v>
      </c>
      <c r="H5" s="4"/>
      <c r="I5" s="32" t="s">
        <v>5</v>
      </c>
      <c r="J5" s="32"/>
      <c r="K5" s="5" t="s">
        <v>112</v>
      </c>
      <c r="L5" s="4"/>
      <c r="M5" s="38" t="s">
        <v>7</v>
      </c>
      <c r="N5" s="4"/>
      <c r="O5" s="38" t="s">
        <v>66</v>
      </c>
      <c r="P5" s="46"/>
      <c r="Q5" s="38" t="s">
        <v>59</v>
      </c>
      <c r="R5" s="4"/>
      <c r="S5" s="5" t="s">
        <v>58</v>
      </c>
      <c r="T5" s="4"/>
      <c r="U5" s="5" t="str">
        <f>+'40800'!U5</f>
        <v>(Percent Target = 83%)</v>
      </c>
      <c r="V5" s="4"/>
      <c r="X5" s="38" t="s">
        <v>7</v>
      </c>
    </row>
    <row r="6" spans="5:24" ht="13.5" thickBot="1">
      <c r="E6" s="7" t="s">
        <v>3</v>
      </c>
      <c r="F6" s="4"/>
      <c r="G6" s="8" t="s">
        <v>9</v>
      </c>
      <c r="H6" s="5"/>
      <c r="I6" s="33" t="s">
        <v>3</v>
      </c>
      <c r="J6" s="32"/>
      <c r="K6" s="8" t="s">
        <v>6</v>
      </c>
      <c r="L6" s="4"/>
      <c r="M6" s="39" t="s">
        <v>6</v>
      </c>
      <c r="N6" s="4"/>
      <c r="O6" s="39" t="s">
        <v>65</v>
      </c>
      <c r="P6" s="46"/>
      <c r="Q6" s="39" t="s">
        <v>3</v>
      </c>
      <c r="R6" s="4"/>
      <c r="S6" s="8" t="s">
        <v>3</v>
      </c>
      <c r="T6" s="4"/>
      <c r="U6" s="8" t="s">
        <v>36</v>
      </c>
      <c r="V6" s="4"/>
      <c r="X6" s="39" t="s">
        <v>6</v>
      </c>
    </row>
    <row r="7" spans="1:24" ht="12.75">
      <c r="A7" s="9" t="s">
        <v>1</v>
      </c>
      <c r="I7" s="34"/>
      <c r="J7" s="34"/>
      <c r="M7" s="34"/>
      <c r="O7" s="34"/>
      <c r="Q7" s="34"/>
      <c r="S7" s="2"/>
      <c r="T7" s="2"/>
      <c r="X7" s="34"/>
    </row>
    <row r="8" spans="5:24" ht="12.75">
      <c r="E8" s="10"/>
      <c r="F8" s="10"/>
      <c r="G8" s="10"/>
      <c r="H8" s="10"/>
      <c r="I8" s="35"/>
      <c r="J8" s="35"/>
      <c r="K8" s="10"/>
      <c r="L8" s="10"/>
      <c r="M8" s="35"/>
      <c r="N8" s="10"/>
      <c r="O8" s="35"/>
      <c r="P8" s="12"/>
      <c r="Q8" s="35"/>
      <c r="S8" s="2"/>
      <c r="T8" s="2"/>
      <c r="V8" s="10"/>
      <c r="X8" s="35"/>
    </row>
    <row r="9" spans="3:24" ht="12.75">
      <c r="C9" t="s">
        <v>56</v>
      </c>
      <c r="E9" s="19">
        <v>1201950</v>
      </c>
      <c r="F9" s="19"/>
      <c r="G9" s="19">
        <v>0</v>
      </c>
      <c r="H9" s="19"/>
      <c r="I9" s="36">
        <f>+E9+G9</f>
        <v>1201950</v>
      </c>
      <c r="J9" s="36"/>
      <c r="K9" s="19">
        <f>+M9-X9-K10</f>
        <v>43528.98000000004</v>
      </c>
      <c r="L9" s="19"/>
      <c r="M9" s="36">
        <f>+M20-M11</f>
        <v>988787.76</v>
      </c>
      <c r="N9" s="19"/>
      <c r="O9" s="36">
        <v>0</v>
      </c>
      <c r="P9" s="23"/>
      <c r="Q9" s="36">
        <f>+M9-I9</f>
        <v>-213162.24</v>
      </c>
      <c r="S9" s="6">
        <f>+M9/I9</f>
        <v>0.8226529888930488</v>
      </c>
      <c r="T9" s="2"/>
      <c r="U9" s="29"/>
      <c r="V9" s="10"/>
      <c r="X9" s="36">
        <f>+X20-X11</f>
        <v>887666.72</v>
      </c>
    </row>
    <row r="10" spans="3:24" ht="12.75">
      <c r="C10" t="s">
        <v>74</v>
      </c>
      <c r="E10" s="10">
        <v>0</v>
      </c>
      <c r="F10" s="81"/>
      <c r="G10" s="10">
        <v>0</v>
      </c>
      <c r="H10" s="81"/>
      <c r="I10" s="35">
        <v>0</v>
      </c>
      <c r="J10" s="82"/>
      <c r="K10" s="10">
        <v>57592.06</v>
      </c>
      <c r="L10" s="81"/>
      <c r="M10" s="82">
        <v>0</v>
      </c>
      <c r="N10" s="81"/>
      <c r="O10" s="35">
        <v>0</v>
      </c>
      <c r="P10" s="23"/>
      <c r="Q10" s="35">
        <v>0</v>
      </c>
      <c r="S10" s="105" t="s">
        <v>75</v>
      </c>
      <c r="T10" s="2"/>
      <c r="U10" s="1"/>
      <c r="V10" s="10"/>
      <c r="X10" s="82">
        <v>0</v>
      </c>
    </row>
    <row r="11" spans="3:24" ht="12.75">
      <c r="C11" t="s">
        <v>85</v>
      </c>
      <c r="E11" s="10">
        <v>0</v>
      </c>
      <c r="F11" s="81"/>
      <c r="G11" s="10">
        <v>0</v>
      </c>
      <c r="H11" s="81"/>
      <c r="I11" s="35">
        <v>0</v>
      </c>
      <c r="J11" s="82"/>
      <c r="K11" s="11">
        <f>+M11-X11</f>
        <v>0</v>
      </c>
      <c r="L11" s="81"/>
      <c r="M11" s="82">
        <v>15587.28</v>
      </c>
      <c r="N11" s="81"/>
      <c r="O11" s="35">
        <v>0</v>
      </c>
      <c r="P11" s="23"/>
      <c r="Q11" s="35">
        <v>0</v>
      </c>
      <c r="S11" s="105" t="s">
        <v>75</v>
      </c>
      <c r="T11" s="2"/>
      <c r="V11" s="10"/>
      <c r="X11" s="82">
        <v>15587.28</v>
      </c>
    </row>
    <row r="12" spans="1:24" ht="12.75">
      <c r="A12" s="9" t="s">
        <v>8</v>
      </c>
      <c r="E12" s="22">
        <f>+E9</f>
        <v>1201950</v>
      </c>
      <c r="F12" s="23"/>
      <c r="G12" s="22">
        <f>+G9</f>
        <v>0</v>
      </c>
      <c r="H12" s="23"/>
      <c r="I12" s="37">
        <f>+I9</f>
        <v>1201950</v>
      </c>
      <c r="J12" s="36"/>
      <c r="K12" s="22">
        <f>SUM(K9:K11)</f>
        <v>101121.04000000004</v>
      </c>
      <c r="L12" s="19"/>
      <c r="M12" s="37">
        <f>SUM(M9:M11)</f>
        <v>1004375.04</v>
      </c>
      <c r="N12" s="19"/>
      <c r="O12" s="37">
        <f>+O9</f>
        <v>0</v>
      </c>
      <c r="P12" s="23"/>
      <c r="Q12" s="37">
        <f>SUM(Q9:Q11)</f>
        <v>-213162.24</v>
      </c>
      <c r="S12" s="31">
        <f>+M12/I12</f>
        <v>0.8356213153625359</v>
      </c>
      <c r="T12" s="2"/>
      <c r="V12" s="10"/>
      <c r="X12" s="37">
        <f>SUM(X9:X11)</f>
        <v>903254</v>
      </c>
    </row>
    <row r="13" spans="9:24" ht="12.75">
      <c r="I13" s="34"/>
      <c r="J13" s="34"/>
      <c r="M13" s="34"/>
      <c r="O13" s="34"/>
      <c r="Q13" s="34"/>
      <c r="X13" s="34"/>
    </row>
    <row r="14" spans="1:24" ht="12.75">
      <c r="A14" s="9" t="s">
        <v>10</v>
      </c>
      <c r="I14" s="34"/>
      <c r="J14" s="34"/>
      <c r="M14" s="34"/>
      <c r="O14" s="34"/>
      <c r="Q14" s="34"/>
      <c r="S14" s="6"/>
      <c r="T14" s="2"/>
      <c r="X14" s="34"/>
    </row>
    <row r="15" spans="3:24" ht="12.75">
      <c r="C15" t="s">
        <v>105</v>
      </c>
      <c r="E15" s="19">
        <v>900000</v>
      </c>
      <c r="F15" s="10"/>
      <c r="G15" s="19">
        <v>0</v>
      </c>
      <c r="H15" s="10"/>
      <c r="I15" s="35">
        <f>+E15+G15</f>
        <v>900000</v>
      </c>
      <c r="J15" s="35"/>
      <c r="K15" s="10">
        <f>+M15-X15</f>
        <v>79167.33999999997</v>
      </c>
      <c r="L15" s="10"/>
      <c r="M15" s="35">
        <v>758333.34</v>
      </c>
      <c r="N15" s="10"/>
      <c r="O15" s="35">
        <v>0</v>
      </c>
      <c r="P15" s="12"/>
      <c r="Q15" s="35">
        <f>+I15-M15</f>
        <v>141666.66000000003</v>
      </c>
      <c r="S15" s="6">
        <f>+M15/I15</f>
        <v>0.8425925999999999</v>
      </c>
      <c r="U15" s="29"/>
      <c r="V15" s="10"/>
      <c r="X15" s="35">
        <v>679166</v>
      </c>
    </row>
    <row r="16" spans="3:24" ht="12.75">
      <c r="C16" t="s">
        <v>106</v>
      </c>
      <c r="E16" s="10">
        <v>299450</v>
      </c>
      <c r="F16" s="10"/>
      <c r="G16" s="10">
        <v>0</v>
      </c>
      <c r="H16" s="10"/>
      <c r="I16" s="35">
        <f>+E16+G16</f>
        <v>299450</v>
      </c>
      <c r="J16" s="35"/>
      <c r="K16" s="10">
        <f>+M16-X16</f>
        <v>21953.70000000001</v>
      </c>
      <c r="L16" s="10"/>
      <c r="M16" s="35">
        <v>243541.7</v>
      </c>
      <c r="N16" s="10"/>
      <c r="O16" s="35">
        <v>0</v>
      </c>
      <c r="P16" s="12"/>
      <c r="Q16" s="35">
        <f>+I16-M16</f>
        <v>55908.29999999999</v>
      </c>
      <c r="S16" s="6">
        <f>+M16/I16</f>
        <v>0.8132967106361664</v>
      </c>
      <c r="U16" s="30"/>
      <c r="V16" s="10"/>
      <c r="X16" s="35">
        <v>221588</v>
      </c>
    </row>
    <row r="17" spans="3:24" ht="12.75">
      <c r="C17" t="s">
        <v>107</v>
      </c>
      <c r="E17" s="10">
        <v>2500</v>
      </c>
      <c r="F17" s="10"/>
      <c r="G17" s="10">
        <v>0</v>
      </c>
      <c r="H17" s="10"/>
      <c r="I17" s="35">
        <f>+E17+G17</f>
        <v>2500</v>
      </c>
      <c r="J17" s="35"/>
      <c r="K17" s="10">
        <f>+M17-X17</f>
        <v>0</v>
      </c>
      <c r="L17" s="10"/>
      <c r="M17" s="35">
        <v>2500</v>
      </c>
      <c r="N17" s="10"/>
      <c r="O17" s="35">
        <v>0</v>
      </c>
      <c r="P17" s="12"/>
      <c r="Q17" s="35">
        <f>+I17-M17</f>
        <v>0</v>
      </c>
      <c r="S17" s="6">
        <f>+M17/I17</f>
        <v>1</v>
      </c>
      <c r="U17" s="30"/>
      <c r="V17" s="10"/>
      <c r="X17" s="35">
        <v>2500</v>
      </c>
    </row>
    <row r="18" spans="9:24" ht="3" customHeight="1">
      <c r="I18" s="34"/>
      <c r="J18" s="34"/>
      <c r="M18" s="34"/>
      <c r="O18" s="34"/>
      <c r="Q18" s="34"/>
      <c r="S18" s="6"/>
      <c r="X18" s="34"/>
    </row>
    <row r="19" spans="5:24" ht="12.75">
      <c r="E19" s="10"/>
      <c r="F19" s="10"/>
      <c r="G19" s="10"/>
      <c r="H19" s="10"/>
      <c r="I19" s="35"/>
      <c r="J19" s="35"/>
      <c r="K19" s="10"/>
      <c r="L19" s="10"/>
      <c r="M19" s="35"/>
      <c r="N19" s="10"/>
      <c r="O19" s="35"/>
      <c r="P19" s="12"/>
      <c r="Q19" s="35"/>
      <c r="S19" s="6"/>
      <c r="V19" s="10"/>
      <c r="X19" s="35"/>
    </row>
    <row r="20" spans="1:24" ht="12.75">
      <c r="A20" s="9" t="s">
        <v>20</v>
      </c>
      <c r="E20" s="20">
        <f>SUM(E15:E19)</f>
        <v>1201950</v>
      </c>
      <c r="F20" s="21"/>
      <c r="G20" s="20">
        <f>SUM(G15:G19)</f>
        <v>0</v>
      </c>
      <c r="H20" s="21"/>
      <c r="I20" s="42">
        <f>SUM(I15:I19)</f>
        <v>1201950</v>
      </c>
      <c r="J20" s="45"/>
      <c r="K20" s="20">
        <f>SUM(K15:K19)</f>
        <v>101121.03999999998</v>
      </c>
      <c r="L20" s="21"/>
      <c r="M20" s="42">
        <f>SUM(M15:M19)</f>
        <v>1004375.04</v>
      </c>
      <c r="N20" s="21"/>
      <c r="O20" s="42">
        <f>SUM(O15:O19)</f>
        <v>0</v>
      </c>
      <c r="P20" s="47"/>
      <c r="Q20" s="42">
        <f>SUM(Q15:Q19)</f>
        <v>197574.96000000002</v>
      </c>
      <c r="S20" s="31">
        <f>+M20/I20</f>
        <v>0.8356213153625359</v>
      </c>
      <c r="V20" s="10"/>
      <c r="X20" s="42">
        <f>SUM(X15:X19)</f>
        <v>903254</v>
      </c>
    </row>
    <row r="21" spans="1:24" s="13" customFormat="1" ht="12.75">
      <c r="A21" s="17"/>
      <c r="E21" s="14"/>
      <c r="F21" s="14"/>
      <c r="G21" s="14"/>
      <c r="H21" s="14"/>
      <c r="I21" s="35"/>
      <c r="J21" s="35"/>
      <c r="K21" s="14"/>
      <c r="L21" s="14"/>
      <c r="M21" s="35"/>
      <c r="N21" s="14"/>
      <c r="O21" s="14"/>
      <c r="P21" s="102"/>
      <c r="Q21" s="14"/>
      <c r="R21" s="15"/>
      <c r="S21" s="16"/>
      <c r="V21" s="14"/>
      <c r="X21" s="35"/>
    </row>
    <row r="22" spans="1:24" ht="13.5" thickBot="1">
      <c r="A22" s="9" t="s">
        <v>21</v>
      </c>
      <c r="E22" s="12"/>
      <c r="F22" s="12"/>
      <c r="G22" s="12"/>
      <c r="H22" s="10"/>
      <c r="I22" s="43">
        <f>+I12-I20</f>
        <v>0</v>
      </c>
      <c r="J22" s="36"/>
      <c r="K22" s="24">
        <f>+K12-K20</f>
        <v>0</v>
      </c>
      <c r="L22" s="19"/>
      <c r="M22" s="153">
        <f>+M12-M20</f>
        <v>0</v>
      </c>
      <c r="N22" s="19"/>
      <c r="O22" s="102"/>
      <c r="P22" s="102"/>
      <c r="Q22" s="104"/>
      <c r="S22" s="6"/>
      <c r="V22" s="12"/>
      <c r="X22" s="153">
        <f>+X12-X20</f>
        <v>0</v>
      </c>
    </row>
    <row r="23" spans="5:24" ht="13.5" thickTop="1">
      <c r="E23" s="10"/>
      <c r="F23" s="10"/>
      <c r="G23" s="10"/>
      <c r="H23" s="10"/>
      <c r="I23" s="10"/>
      <c r="J23" s="10"/>
      <c r="K23" s="10"/>
      <c r="L23" s="10"/>
      <c r="M23" s="14"/>
      <c r="N23" s="10"/>
      <c r="O23" s="10"/>
      <c r="P23" s="12"/>
      <c r="Q23" s="10"/>
      <c r="S23" s="6"/>
      <c r="V23" s="10"/>
      <c r="X23" s="14"/>
    </row>
    <row r="24" ht="12.75">
      <c r="S24" s="6"/>
    </row>
    <row r="25" spans="13:24" ht="12.75">
      <c r="M25" s="25"/>
      <c r="S25" s="6"/>
      <c r="X25" s="25"/>
    </row>
    <row r="26" spans="1:24" ht="15.75">
      <c r="A26" s="18" t="s">
        <v>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01"/>
      <c r="Q26" s="18"/>
      <c r="R26" s="18"/>
      <c r="S26" s="18"/>
      <c r="T26" s="18"/>
      <c r="U26" s="18"/>
      <c r="V26" s="18"/>
      <c r="X26" s="18"/>
    </row>
    <row r="27" spans="1:24" ht="15.75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01"/>
      <c r="Q27" s="18"/>
      <c r="R27" s="18"/>
      <c r="S27" s="18"/>
      <c r="T27" s="18"/>
      <c r="U27" s="18"/>
      <c r="V27" s="18"/>
      <c r="X27" s="18"/>
    </row>
    <row r="28" spans="1:24" ht="15.75">
      <c r="A28" s="18" t="str">
        <f>+A3</f>
        <v>For the Month of April 2009 (Target = 83% of budget)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01"/>
      <c r="Q28" s="18"/>
      <c r="R28" s="18"/>
      <c r="S28" s="18"/>
      <c r="T28" s="18"/>
      <c r="U28" s="18"/>
      <c r="V28" s="18"/>
      <c r="X28" s="18"/>
    </row>
    <row r="29" spans="15:16" ht="33" customHeight="1">
      <c r="O29" s="5"/>
      <c r="P29" s="46"/>
    </row>
    <row r="30" spans="5:24" ht="12.75">
      <c r="E30" s="4" t="s">
        <v>2</v>
      </c>
      <c r="F30" s="4"/>
      <c r="G30" s="4" t="s">
        <v>4</v>
      </c>
      <c r="H30" s="4"/>
      <c r="I30" s="32" t="s">
        <v>5</v>
      </c>
      <c r="J30" s="4"/>
      <c r="K30" s="176" t="str">
        <f>+K5</f>
        <v>April</v>
      </c>
      <c r="L30" s="4"/>
      <c r="M30" s="38" t="s">
        <v>7</v>
      </c>
      <c r="N30" s="4"/>
      <c r="O30" s="38" t="s">
        <v>66</v>
      </c>
      <c r="P30" s="46"/>
      <c r="Q30" s="38" t="s">
        <v>59</v>
      </c>
      <c r="R30" s="4"/>
      <c r="S30" s="5" t="s">
        <v>58</v>
      </c>
      <c r="T30" s="4"/>
      <c r="U30" s="5" t="str">
        <f>+U5</f>
        <v>(Percent Target = 83%)</v>
      </c>
      <c r="V30" s="4"/>
      <c r="X30" s="38" t="s">
        <v>7</v>
      </c>
    </row>
    <row r="31" spans="5:24" ht="13.5" thickBot="1">
      <c r="E31" s="7" t="s">
        <v>3</v>
      </c>
      <c r="F31" s="4"/>
      <c r="G31" s="8" t="s">
        <v>9</v>
      </c>
      <c r="H31" s="5"/>
      <c r="I31" s="33" t="s">
        <v>3</v>
      </c>
      <c r="J31" s="4"/>
      <c r="K31" s="177" t="s">
        <v>6</v>
      </c>
      <c r="L31" s="4"/>
      <c r="M31" s="39" t="s">
        <v>6</v>
      </c>
      <c r="N31" s="4"/>
      <c r="O31" s="39" t="s">
        <v>65</v>
      </c>
      <c r="P31" s="46"/>
      <c r="Q31" s="39" t="s">
        <v>3</v>
      </c>
      <c r="R31" s="4"/>
      <c r="S31" s="8" t="s">
        <v>3</v>
      </c>
      <c r="T31" s="4"/>
      <c r="U31" s="8" t="s">
        <v>36</v>
      </c>
      <c r="V31" s="4"/>
      <c r="X31" s="39" t="s">
        <v>6</v>
      </c>
    </row>
    <row r="32" spans="1:24" ht="12.75">
      <c r="A32" s="9" t="s">
        <v>1</v>
      </c>
      <c r="I32" s="34"/>
      <c r="K32" s="15"/>
      <c r="M32" s="34"/>
      <c r="O32" s="34"/>
      <c r="Q32" s="34"/>
      <c r="S32" s="2"/>
      <c r="T32" s="2"/>
      <c r="X32" s="34"/>
    </row>
    <row r="33" spans="2:24" ht="12.75">
      <c r="B33" t="s">
        <v>55</v>
      </c>
      <c r="E33" s="10"/>
      <c r="F33" s="10"/>
      <c r="G33" s="10"/>
      <c r="H33" s="10"/>
      <c r="I33" s="35"/>
      <c r="J33" s="10"/>
      <c r="K33" s="14"/>
      <c r="L33" s="10"/>
      <c r="M33" s="35"/>
      <c r="N33" s="10"/>
      <c r="O33" s="35"/>
      <c r="P33" s="12"/>
      <c r="Q33" s="35"/>
      <c r="S33" s="2"/>
      <c r="T33" s="2"/>
      <c r="V33" s="10"/>
      <c r="X33" s="35"/>
    </row>
    <row r="34" spans="3:24" ht="12.75">
      <c r="C34" t="s">
        <v>56</v>
      </c>
      <c r="E34" s="19">
        <v>140000</v>
      </c>
      <c r="F34" s="19"/>
      <c r="G34" s="19">
        <v>0</v>
      </c>
      <c r="H34" s="19"/>
      <c r="I34" s="36">
        <f>+E34+G34</f>
        <v>140000</v>
      </c>
      <c r="J34" s="19"/>
      <c r="K34" s="14">
        <f>+M34-X34</f>
        <v>0</v>
      </c>
      <c r="L34" s="19"/>
      <c r="M34" s="36">
        <v>0</v>
      </c>
      <c r="N34" s="19"/>
      <c r="O34" s="36">
        <v>0</v>
      </c>
      <c r="P34" s="23"/>
      <c r="Q34" s="36">
        <f>+M34-I34+O34</f>
        <v>-140000</v>
      </c>
      <c r="S34" s="6">
        <f>+M34/I34</f>
        <v>0</v>
      </c>
      <c r="T34" s="2"/>
      <c r="U34" s="29"/>
      <c r="V34" s="10"/>
      <c r="X34" s="36">
        <v>0</v>
      </c>
    </row>
    <row r="35" spans="5:24" ht="12.75">
      <c r="E35" s="10"/>
      <c r="F35" s="10"/>
      <c r="G35" s="10"/>
      <c r="H35" s="10"/>
      <c r="I35" s="35"/>
      <c r="J35" s="10"/>
      <c r="K35" s="14"/>
      <c r="L35" s="10"/>
      <c r="M35" s="35"/>
      <c r="N35" s="10"/>
      <c r="O35" s="35"/>
      <c r="P35" s="12"/>
      <c r="Q35" s="35"/>
      <c r="S35" s="6"/>
      <c r="T35" s="2"/>
      <c r="V35" s="10"/>
      <c r="X35" s="35"/>
    </row>
    <row r="36" spans="1:24" ht="12.75">
      <c r="A36" s="9" t="s">
        <v>8</v>
      </c>
      <c r="E36" s="22">
        <f>+E34</f>
        <v>140000</v>
      </c>
      <c r="F36" s="23"/>
      <c r="G36" s="22">
        <f>+G34</f>
        <v>0</v>
      </c>
      <c r="H36" s="23"/>
      <c r="I36" s="37">
        <f>+I34</f>
        <v>140000</v>
      </c>
      <c r="J36" s="19"/>
      <c r="K36" s="178">
        <f>+K34</f>
        <v>0</v>
      </c>
      <c r="L36" s="19"/>
      <c r="M36" s="37">
        <f>+M34</f>
        <v>0</v>
      </c>
      <c r="N36" s="19"/>
      <c r="O36" s="37">
        <f>+O34</f>
        <v>0</v>
      </c>
      <c r="P36" s="23"/>
      <c r="Q36" s="37">
        <f>+Q34</f>
        <v>-140000</v>
      </c>
      <c r="S36" s="31">
        <f>+M36/I36</f>
        <v>0</v>
      </c>
      <c r="T36" s="2"/>
      <c r="V36" s="10"/>
      <c r="X36" s="37">
        <f>+X34</f>
        <v>0</v>
      </c>
    </row>
    <row r="37" spans="9:24" ht="12.75">
      <c r="I37" s="34"/>
      <c r="K37" s="15"/>
      <c r="M37" s="34"/>
      <c r="O37" s="34"/>
      <c r="Q37" s="34"/>
      <c r="X37" s="34"/>
    </row>
    <row r="38" spans="1:24" ht="12.75">
      <c r="A38" s="9" t="s">
        <v>10</v>
      </c>
      <c r="I38" s="34"/>
      <c r="K38" s="15"/>
      <c r="M38" s="34"/>
      <c r="O38" s="34"/>
      <c r="Q38" s="34"/>
      <c r="S38" s="6"/>
      <c r="T38" s="2"/>
      <c r="X38" s="34"/>
    </row>
    <row r="39" spans="3:24" ht="12.75">
      <c r="C39" t="s">
        <v>57</v>
      </c>
      <c r="E39" s="19">
        <v>20000</v>
      </c>
      <c r="F39" s="10"/>
      <c r="G39" s="19">
        <v>0</v>
      </c>
      <c r="H39" s="10"/>
      <c r="I39" s="35">
        <f>+E39+G39</f>
        <v>20000</v>
      </c>
      <c r="J39" s="10"/>
      <c r="K39" s="179">
        <f>+M39-X39</f>
        <v>0</v>
      </c>
      <c r="L39" s="10"/>
      <c r="M39" s="35">
        <v>0</v>
      </c>
      <c r="N39" s="10"/>
      <c r="O39" s="35">
        <v>0</v>
      </c>
      <c r="P39" s="12"/>
      <c r="Q39" s="35">
        <f>+I39-M39-O39</f>
        <v>20000</v>
      </c>
      <c r="S39" s="6">
        <f>+(M39+O39)/I39</f>
        <v>0</v>
      </c>
      <c r="U39" s="29"/>
      <c r="V39" s="10"/>
      <c r="X39" s="35">
        <v>0</v>
      </c>
    </row>
    <row r="40" spans="3:24" ht="12.75">
      <c r="C40" t="s">
        <v>101</v>
      </c>
      <c r="E40" s="10">
        <v>120000</v>
      </c>
      <c r="F40" s="10"/>
      <c r="G40" s="10">
        <v>0</v>
      </c>
      <c r="H40" s="10"/>
      <c r="I40" s="35">
        <f>+E40+G40</f>
        <v>120000</v>
      </c>
      <c r="J40" s="10"/>
      <c r="K40" s="179">
        <f>+M40-X40</f>
        <v>0</v>
      </c>
      <c r="L40" s="10"/>
      <c r="M40" s="35">
        <v>0</v>
      </c>
      <c r="N40" s="10"/>
      <c r="O40" s="35">
        <v>0</v>
      </c>
      <c r="P40" s="12"/>
      <c r="Q40" s="35">
        <f>+I40-M40</f>
        <v>120000</v>
      </c>
      <c r="S40" s="6">
        <f>+(M40+O40)/I40</f>
        <v>0</v>
      </c>
      <c r="U40" s="30"/>
      <c r="V40" s="10"/>
      <c r="X40" s="35">
        <v>0</v>
      </c>
    </row>
    <row r="41" spans="9:24" ht="3" customHeight="1">
      <c r="I41" s="34"/>
      <c r="K41" s="180"/>
      <c r="M41" s="165"/>
      <c r="O41" s="34"/>
      <c r="Q41" s="34"/>
      <c r="S41" s="6"/>
      <c r="X41" s="165"/>
    </row>
    <row r="42" spans="5:24" ht="12.75">
      <c r="E42" s="10"/>
      <c r="F42" s="10"/>
      <c r="G42" s="10"/>
      <c r="H42" s="10"/>
      <c r="I42" s="35"/>
      <c r="J42" s="10"/>
      <c r="K42" s="179"/>
      <c r="L42" s="10"/>
      <c r="M42" s="165"/>
      <c r="N42" s="10"/>
      <c r="O42" s="35"/>
      <c r="P42" s="12"/>
      <c r="Q42" s="35"/>
      <c r="S42" s="6"/>
      <c r="V42" s="10"/>
      <c r="X42" s="165"/>
    </row>
    <row r="43" spans="1:24" ht="12.75">
      <c r="A43" s="9" t="s">
        <v>20</v>
      </c>
      <c r="E43" s="20">
        <f>SUM(E39:E42)</f>
        <v>140000</v>
      </c>
      <c r="F43" s="21"/>
      <c r="G43" s="20">
        <f>SUM(G39:G42)</f>
        <v>0</v>
      </c>
      <c r="H43" s="21"/>
      <c r="I43" s="42">
        <f>SUM(I39:I42)</f>
        <v>140000</v>
      </c>
      <c r="J43" s="21"/>
      <c r="K43" s="181">
        <f>SUM(K39:K42)</f>
        <v>0</v>
      </c>
      <c r="L43" s="21"/>
      <c r="M43" s="42">
        <f>SUM(M39:M42)</f>
        <v>0</v>
      </c>
      <c r="N43" s="21"/>
      <c r="O43" s="42">
        <f>SUM(O39:O42)</f>
        <v>0</v>
      </c>
      <c r="P43" s="47"/>
      <c r="Q43" s="42">
        <f>SUM(Q39:Q42)</f>
        <v>140000</v>
      </c>
      <c r="S43" s="31">
        <f>+(M43+O43)/I43</f>
        <v>0</v>
      </c>
      <c r="V43" s="10"/>
      <c r="X43" s="42">
        <f>SUM(X39:X42)</f>
        <v>0</v>
      </c>
    </row>
    <row r="44" spans="1:24" s="13" customFormat="1" ht="12.75">
      <c r="A44" s="17"/>
      <c r="E44" s="14"/>
      <c r="F44" s="14"/>
      <c r="G44" s="14"/>
      <c r="H44" s="14"/>
      <c r="I44" s="35"/>
      <c r="J44" s="14"/>
      <c r="K44" s="14"/>
      <c r="L44" s="14"/>
      <c r="M44" s="35"/>
      <c r="N44" s="14"/>
      <c r="O44" s="102"/>
      <c r="P44" s="102"/>
      <c r="Q44" s="102"/>
      <c r="R44" s="15"/>
      <c r="S44" s="16"/>
      <c r="V44" s="14"/>
      <c r="X44" s="35"/>
    </row>
    <row r="45" spans="1:24" ht="13.5" thickBot="1">
      <c r="A45" s="9" t="s">
        <v>21</v>
      </c>
      <c r="E45" s="12"/>
      <c r="F45" s="12"/>
      <c r="G45" s="12"/>
      <c r="H45" s="10"/>
      <c r="I45" s="43">
        <f>+I36-I43</f>
        <v>0</v>
      </c>
      <c r="J45" s="19"/>
      <c r="K45" s="24">
        <f>+K36-K43</f>
        <v>0</v>
      </c>
      <c r="L45" s="19"/>
      <c r="M45" s="43">
        <f>+M36-M43</f>
        <v>0</v>
      </c>
      <c r="N45" s="19"/>
      <c r="O45" s="102"/>
      <c r="P45" s="102"/>
      <c r="Q45" s="104"/>
      <c r="S45" s="6"/>
      <c r="V45" s="12"/>
      <c r="X45" s="43">
        <f>+X36-X43</f>
        <v>0</v>
      </c>
    </row>
    <row r="46" ht="13.5" thickTop="1">
      <c r="S46" s="6"/>
    </row>
    <row r="47" ht="12.75">
      <c r="S47" s="6"/>
    </row>
    <row r="48" ht="12.75">
      <c r="S48" s="6"/>
    </row>
    <row r="49" ht="12.75">
      <c r="S49" s="6"/>
    </row>
    <row r="50" ht="12.75"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</sheetData>
  <printOptions/>
  <pageMargins left="0.36" right="0.44" top="0.49" bottom="0.65" header="0.41" footer="0.31"/>
  <pageSetup fitToHeight="1" fitToWidth="1" horizontalDpi="200" verticalDpi="200" orientation="landscape" paperSize="5" scale="86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27"/>
  <sheetViews>
    <sheetView view="pageBreakPreview" zoomScaleSheetLayoutView="100" workbookViewId="0" topLeftCell="A1">
      <selection activeCell="M15" sqref="M15"/>
    </sheetView>
  </sheetViews>
  <sheetFormatPr defaultColWidth="9.140625" defaultRowHeight="12.75"/>
  <cols>
    <col min="1" max="1" width="5.00390625" style="0" customWidth="1"/>
  </cols>
  <sheetData>
    <row r="2" ht="12.75">
      <c r="A2" t="s">
        <v>63</v>
      </c>
    </row>
    <row r="3" ht="12.75">
      <c r="A3" t="s">
        <v>64</v>
      </c>
    </row>
    <row r="5" ht="12.75">
      <c r="A5" t="s">
        <v>26</v>
      </c>
    </row>
    <row r="6" ht="12.75">
      <c r="B6" t="s">
        <v>27</v>
      </c>
    </row>
    <row r="7" ht="12.75">
      <c r="B7" t="s">
        <v>28</v>
      </c>
    </row>
    <row r="8" ht="12.75">
      <c r="B8" t="s">
        <v>29</v>
      </c>
    </row>
    <row r="10" ht="12.75">
      <c r="A10" t="s">
        <v>25</v>
      </c>
    </row>
    <row r="11" ht="12.75">
      <c r="B11" t="s">
        <v>30</v>
      </c>
    </row>
    <row r="12" ht="12.75">
      <c r="C12" t="s">
        <v>31</v>
      </c>
    </row>
    <row r="13" ht="12.75">
      <c r="C13" t="s">
        <v>32</v>
      </c>
    </row>
    <row r="14" ht="12.75">
      <c r="B14" t="s">
        <v>33</v>
      </c>
    </row>
    <row r="15" ht="12.75">
      <c r="B15" t="s">
        <v>34</v>
      </c>
    </row>
    <row r="16" ht="12.75">
      <c r="C16" t="s">
        <v>35</v>
      </c>
    </row>
    <row r="18" ht="12.75">
      <c r="A18" t="s">
        <v>37</v>
      </c>
    </row>
    <row r="19" ht="12.75">
      <c r="A19" t="s">
        <v>38</v>
      </c>
    </row>
    <row r="24" ht="12.75">
      <c r="A24" t="s">
        <v>24</v>
      </c>
    </row>
    <row r="25" ht="12.75">
      <c r="B25" t="s">
        <v>22</v>
      </c>
    </row>
    <row r="26" ht="12.75">
      <c r="B26" t="s">
        <v>23</v>
      </c>
    </row>
    <row r="27" ht="12.75">
      <c r="B27" t="s">
        <v>62</v>
      </c>
    </row>
  </sheetData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92"/>
  <sheetViews>
    <sheetView tabSelected="1" zoomScale="75" zoomScaleNormal="75" zoomScaleSheetLayoutView="75" workbookViewId="0" topLeftCell="A1">
      <selection activeCell="AC18" sqref="AC18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6.00390625" style="0" customWidth="1"/>
    <col min="5" max="5" width="15.710937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2" customWidth="1"/>
    <col min="10" max="10" width="1.7109375" style="2" customWidth="1"/>
    <col min="11" max="11" width="15.7109375" style="2" customWidth="1"/>
    <col min="12" max="12" width="1.7109375" style="2" customWidth="1"/>
    <col min="13" max="13" width="15.7109375" style="139" customWidth="1"/>
    <col min="14" max="14" width="1.7109375" style="2" customWidth="1"/>
    <col min="15" max="15" width="15.7109375" style="139" customWidth="1"/>
    <col min="16" max="16" width="1.7109375" style="26" customWidth="1"/>
    <col min="17" max="17" width="15.7109375" style="160" customWidth="1"/>
    <col min="18" max="18" width="1.7109375" style="26" customWidth="1"/>
    <col min="19" max="19" width="15.7109375" style="160" customWidth="1"/>
    <col min="20" max="20" width="1.7109375" style="166" customWidth="1"/>
    <col min="21" max="21" width="15.7109375" style="160" customWidth="1"/>
    <col min="22" max="22" width="1.7109375" style="26" customWidth="1"/>
    <col min="23" max="23" width="15.7109375" style="15" customWidth="1"/>
    <col min="24" max="24" width="1.7109375" style="26" customWidth="1"/>
    <col min="25" max="25" width="15.7109375" style="15" customWidth="1"/>
    <col min="26" max="26" width="1.7109375" style="26" customWidth="1"/>
    <col min="27" max="27" width="15.7109375" style="15" customWidth="1"/>
    <col min="28" max="28" width="1.7109375" style="26" customWidth="1"/>
    <col min="29" max="29" width="15.7109375" style="139" customWidth="1"/>
    <col min="30" max="30" width="1.7109375" style="2" customWidth="1"/>
    <col min="31" max="31" width="20.00390625" style="15" customWidth="1"/>
    <col min="32" max="32" width="1.7109375" style="2" customWidth="1"/>
    <col min="33" max="33" width="15.7109375" style="2" customWidth="1"/>
    <col min="34" max="34" width="1.7109375" style="2" customWidth="1"/>
    <col min="35" max="35" width="14.28125" style="0" bestFit="1" customWidth="1"/>
    <col min="37" max="37" width="16.140625" style="0" bestFit="1" customWidth="1"/>
  </cols>
  <sheetData>
    <row r="1" spans="1:35" ht="18">
      <c r="A1" s="7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7"/>
      <c r="Q1" s="159"/>
      <c r="R1" s="27"/>
      <c r="S1" s="28"/>
      <c r="T1" s="27"/>
      <c r="U1" s="28"/>
      <c r="V1" s="27"/>
      <c r="W1" s="28"/>
      <c r="X1" s="27"/>
      <c r="Y1" s="28"/>
      <c r="Z1" s="27"/>
      <c r="AA1" s="28"/>
      <c r="AB1" s="27"/>
      <c r="AC1" s="138"/>
      <c r="AD1" s="18"/>
      <c r="AE1" s="28"/>
      <c r="AF1" s="18"/>
      <c r="AG1" s="18"/>
      <c r="AH1" s="18"/>
      <c r="AI1" s="18"/>
    </row>
    <row r="2" spans="1:35" ht="18">
      <c r="A2" s="7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7"/>
      <c r="Q2" s="159"/>
      <c r="R2" s="27"/>
      <c r="S2" s="28"/>
      <c r="T2" s="27"/>
      <c r="U2" s="28"/>
      <c r="V2" s="27"/>
      <c r="W2" s="28"/>
      <c r="X2" s="27"/>
      <c r="Y2" s="28"/>
      <c r="Z2" s="27"/>
      <c r="AA2" s="28"/>
      <c r="AB2" s="27"/>
      <c r="AC2" s="138"/>
      <c r="AD2" s="18"/>
      <c r="AE2" s="28"/>
      <c r="AF2" s="18"/>
      <c r="AG2" s="18"/>
      <c r="AH2" s="18"/>
      <c r="AI2" s="18"/>
    </row>
    <row r="3" spans="1:35" ht="18">
      <c r="A3" s="77" t="s">
        <v>116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159"/>
      <c r="R3" s="27"/>
      <c r="S3" s="28"/>
      <c r="T3" s="27"/>
      <c r="U3" s="28"/>
      <c r="V3" s="27"/>
      <c r="W3" s="28"/>
      <c r="X3" s="27"/>
      <c r="Y3" s="28"/>
      <c r="Z3" s="27"/>
      <c r="AA3" s="28"/>
      <c r="AB3" s="27"/>
      <c r="AC3" s="138"/>
      <c r="AD3" s="18"/>
      <c r="AE3" s="28"/>
      <c r="AF3" s="18"/>
      <c r="AG3" s="18"/>
      <c r="AH3" s="18"/>
      <c r="AI3" s="18"/>
    </row>
    <row r="4" ht="33" customHeight="1"/>
    <row r="5" spans="5:35" s="48" customFormat="1" ht="18" customHeight="1">
      <c r="E5" s="114" t="s">
        <v>5</v>
      </c>
      <c r="F5" s="49"/>
      <c r="G5" s="49"/>
      <c r="H5" s="49"/>
      <c r="I5" s="49"/>
      <c r="J5" s="49"/>
      <c r="K5" s="49"/>
      <c r="L5" s="49"/>
      <c r="N5" s="156"/>
      <c r="O5" s="83"/>
      <c r="P5" s="156"/>
      <c r="Q5" s="174"/>
      <c r="R5" s="156"/>
      <c r="S5" s="174"/>
      <c r="T5" s="156"/>
      <c r="U5" s="174"/>
      <c r="V5" s="156"/>
      <c r="W5" s="156"/>
      <c r="X5" s="156"/>
      <c r="Z5" s="156"/>
      <c r="AA5" s="183" t="s">
        <v>104</v>
      </c>
      <c r="AB5" s="183"/>
      <c r="AC5" s="183"/>
      <c r="AD5" s="49"/>
      <c r="AE5" s="51"/>
      <c r="AF5" s="49"/>
      <c r="AG5" s="114" t="s">
        <v>60</v>
      </c>
      <c r="AH5" s="114"/>
      <c r="AI5" s="114" t="s">
        <v>58</v>
      </c>
    </row>
    <row r="6" spans="5:35" s="48" customFormat="1" ht="18" customHeight="1" thickBot="1">
      <c r="E6" s="115" t="s">
        <v>3</v>
      </c>
      <c r="F6" s="49"/>
      <c r="G6" s="52" t="s">
        <v>90</v>
      </c>
      <c r="H6" s="49"/>
      <c r="I6" s="52" t="s">
        <v>91</v>
      </c>
      <c r="J6" s="52"/>
      <c r="K6" s="52" t="s">
        <v>92</v>
      </c>
      <c r="L6" s="49"/>
      <c r="M6" s="154" t="s">
        <v>93</v>
      </c>
      <c r="N6" s="49"/>
      <c r="O6" s="154" t="s">
        <v>94</v>
      </c>
      <c r="P6" s="50"/>
      <c r="Q6" s="140" t="s">
        <v>95</v>
      </c>
      <c r="R6" s="50"/>
      <c r="S6" s="140" t="s">
        <v>96</v>
      </c>
      <c r="T6" s="50"/>
      <c r="U6" s="140" t="s">
        <v>97</v>
      </c>
      <c r="V6" s="50"/>
      <c r="W6" s="53" t="s">
        <v>98</v>
      </c>
      <c r="X6" s="50"/>
      <c r="Y6" s="53" t="s">
        <v>99</v>
      </c>
      <c r="Z6" s="50"/>
      <c r="AA6" s="115" t="s">
        <v>108</v>
      </c>
      <c r="AB6" s="163"/>
      <c r="AC6" s="164" t="s">
        <v>100</v>
      </c>
      <c r="AD6" s="49"/>
      <c r="AE6" s="53" t="s">
        <v>41</v>
      </c>
      <c r="AF6" s="49"/>
      <c r="AG6" s="115" t="s">
        <v>3</v>
      </c>
      <c r="AH6" s="114"/>
      <c r="AI6" s="115" t="s">
        <v>3</v>
      </c>
    </row>
    <row r="7" spans="1:35" s="48" customFormat="1" ht="18" customHeight="1">
      <c r="A7" s="54" t="s">
        <v>1</v>
      </c>
      <c r="E7" s="116"/>
      <c r="F7" s="55"/>
      <c r="G7" s="55"/>
      <c r="H7" s="55"/>
      <c r="I7" s="55"/>
      <c r="J7" s="55"/>
      <c r="K7" s="55"/>
      <c r="L7" s="55"/>
      <c r="M7" s="84"/>
      <c r="N7" s="55"/>
      <c r="O7" s="84"/>
      <c r="P7" s="56"/>
      <c r="Q7" s="90"/>
      <c r="R7" s="56"/>
      <c r="S7" s="90"/>
      <c r="T7" s="89"/>
      <c r="U7" s="90"/>
      <c r="V7" s="56"/>
      <c r="W7" s="57"/>
      <c r="X7" s="56"/>
      <c r="Y7" s="57"/>
      <c r="Z7" s="56"/>
      <c r="AA7" s="57"/>
      <c r="AB7" s="56"/>
      <c r="AC7" s="84"/>
      <c r="AD7" s="55"/>
      <c r="AE7" s="57"/>
      <c r="AF7" s="55"/>
      <c r="AG7" s="116"/>
      <c r="AH7" s="116"/>
      <c r="AI7" s="116"/>
    </row>
    <row r="8" spans="2:35" s="48" customFormat="1" ht="18" customHeight="1">
      <c r="B8" s="48" t="s">
        <v>55</v>
      </c>
      <c r="E8" s="122"/>
      <c r="F8" s="58"/>
      <c r="G8" s="58"/>
      <c r="H8" s="58"/>
      <c r="I8" s="58"/>
      <c r="J8" s="58"/>
      <c r="K8" s="58"/>
      <c r="L8" s="58"/>
      <c r="M8" s="85"/>
      <c r="N8" s="58"/>
      <c r="O8" s="85"/>
      <c r="P8" s="59"/>
      <c r="Q8" s="87"/>
      <c r="R8" s="59"/>
      <c r="S8" s="87"/>
      <c r="T8" s="86"/>
      <c r="U8" s="87"/>
      <c r="V8" s="59"/>
      <c r="W8" s="60"/>
      <c r="X8" s="59"/>
      <c r="Y8" s="60"/>
      <c r="Z8" s="59"/>
      <c r="AA8" s="60"/>
      <c r="AB8" s="59"/>
      <c r="AC8" s="85"/>
      <c r="AD8" s="58"/>
      <c r="AE8" s="60"/>
      <c r="AF8" s="55"/>
      <c r="AG8" s="116"/>
      <c r="AH8" s="116"/>
      <c r="AI8" s="116"/>
    </row>
    <row r="9" spans="3:35" s="48" customFormat="1" ht="18" customHeight="1">
      <c r="C9" s="48" t="s">
        <v>56</v>
      </c>
      <c r="E9" s="117">
        <f>+'40800'!I9</f>
        <v>11495401</v>
      </c>
      <c r="F9" s="61"/>
      <c r="G9" s="61">
        <f>+G38</f>
        <v>116546.85999999999</v>
      </c>
      <c r="H9" s="61"/>
      <c r="I9" s="61">
        <f>+I38</f>
        <v>8416.48</v>
      </c>
      <c r="J9" s="61"/>
      <c r="K9" s="61">
        <f>+K38</f>
        <v>1690377.8</v>
      </c>
      <c r="L9" s="61"/>
      <c r="M9" s="97">
        <f>+M38</f>
        <v>666367.8599999999</v>
      </c>
      <c r="N9" s="146"/>
      <c r="O9" s="97">
        <f>+O38</f>
        <v>394212.8</v>
      </c>
      <c r="P9" s="106"/>
      <c r="Q9" s="97">
        <f>+Q38</f>
        <v>507379.55999999994</v>
      </c>
      <c r="R9" s="106"/>
      <c r="S9" s="97">
        <f>+S38</f>
        <v>1086568.47</v>
      </c>
      <c r="T9" s="167"/>
      <c r="U9" s="97">
        <f>+U38</f>
        <v>1137072.08</v>
      </c>
      <c r="V9" s="106"/>
      <c r="W9" s="97">
        <f>+W38</f>
        <v>988856</v>
      </c>
      <c r="X9" s="106"/>
      <c r="Y9" s="97">
        <f>+Y38</f>
        <v>462094</v>
      </c>
      <c r="Z9" s="106"/>
      <c r="AA9" s="146">
        <f>+AA38</f>
        <v>1267291</v>
      </c>
      <c r="AB9" s="106"/>
      <c r="AC9" s="146">
        <f>+AC38</f>
        <v>1741085</v>
      </c>
      <c r="AD9" s="146"/>
      <c r="AE9" s="147">
        <f>SUM(G9:AC9)+0.4</f>
        <v>10066268.31</v>
      </c>
      <c r="AF9" s="55"/>
      <c r="AG9" s="117">
        <f>+AE9-E9</f>
        <v>-1429132.6899999995</v>
      </c>
      <c r="AH9" s="116"/>
      <c r="AI9" s="118">
        <f>AE9/E9</f>
        <v>0.8756778741341864</v>
      </c>
    </row>
    <row r="10" spans="5:35" s="48" customFormat="1" ht="18" customHeight="1">
      <c r="E10" s="122"/>
      <c r="F10" s="58"/>
      <c r="G10" s="58"/>
      <c r="H10" s="58"/>
      <c r="I10" s="58"/>
      <c r="J10" s="58"/>
      <c r="K10" s="58"/>
      <c r="L10" s="58"/>
      <c r="M10" s="85"/>
      <c r="N10" s="58"/>
      <c r="O10" s="85"/>
      <c r="P10" s="59"/>
      <c r="Q10" s="87"/>
      <c r="R10" s="59"/>
      <c r="S10" s="87"/>
      <c r="T10" s="86"/>
      <c r="U10" s="87"/>
      <c r="V10" s="59"/>
      <c r="W10" s="60"/>
      <c r="X10" s="59"/>
      <c r="Y10" s="87"/>
      <c r="Z10" s="59"/>
      <c r="AA10" s="134"/>
      <c r="AB10" s="108"/>
      <c r="AC10" s="85"/>
      <c r="AD10" s="58"/>
      <c r="AE10" s="60"/>
      <c r="AF10" s="55"/>
      <c r="AG10" s="116"/>
      <c r="AH10" s="116"/>
      <c r="AI10" s="118"/>
    </row>
    <row r="11" spans="1:35" s="48" customFormat="1" ht="18" customHeight="1">
      <c r="A11" s="54" t="s">
        <v>8</v>
      </c>
      <c r="E11" s="119">
        <f>+E9</f>
        <v>11495401</v>
      </c>
      <c r="F11" s="64">
        <f aca="true" t="shared" si="0" ref="F11:AG11">+F9</f>
        <v>0</v>
      </c>
      <c r="G11" s="63">
        <f t="shared" si="0"/>
        <v>116546.85999999999</v>
      </c>
      <c r="H11" s="64">
        <f t="shared" si="0"/>
        <v>0</v>
      </c>
      <c r="I11" s="63">
        <f t="shared" si="0"/>
        <v>8416.48</v>
      </c>
      <c r="J11" s="64">
        <f t="shared" si="0"/>
        <v>0</v>
      </c>
      <c r="K11" s="63">
        <f t="shared" si="0"/>
        <v>1690377.8</v>
      </c>
      <c r="L11" s="64">
        <f t="shared" si="0"/>
        <v>0</v>
      </c>
      <c r="M11" s="136">
        <f t="shared" si="0"/>
        <v>666367.8599999999</v>
      </c>
      <c r="N11" s="64">
        <f t="shared" si="0"/>
        <v>0</v>
      </c>
      <c r="O11" s="136">
        <f t="shared" si="0"/>
        <v>394212.8</v>
      </c>
      <c r="P11" s="64">
        <f t="shared" si="0"/>
        <v>0</v>
      </c>
      <c r="Q11" s="136">
        <f t="shared" si="0"/>
        <v>507379.55999999994</v>
      </c>
      <c r="R11" s="64">
        <f t="shared" si="0"/>
        <v>0</v>
      </c>
      <c r="S11" s="136">
        <f t="shared" si="0"/>
        <v>1086568.47</v>
      </c>
      <c r="T11" s="168">
        <f t="shared" si="0"/>
        <v>0</v>
      </c>
      <c r="U11" s="136">
        <f t="shared" si="0"/>
        <v>1137072.08</v>
      </c>
      <c r="V11" s="64">
        <f t="shared" si="0"/>
        <v>0</v>
      </c>
      <c r="W11" s="63">
        <f t="shared" si="0"/>
        <v>988856</v>
      </c>
      <c r="X11" s="64">
        <f t="shared" si="0"/>
        <v>0</v>
      </c>
      <c r="Y11" s="136">
        <f t="shared" si="0"/>
        <v>462094</v>
      </c>
      <c r="Z11" s="64">
        <f t="shared" si="0"/>
        <v>0</v>
      </c>
      <c r="AA11" s="136">
        <f t="shared" si="0"/>
        <v>1267291</v>
      </c>
      <c r="AB11" s="110">
        <f t="shared" si="0"/>
        <v>0</v>
      </c>
      <c r="AC11" s="136">
        <f t="shared" si="0"/>
        <v>1741085</v>
      </c>
      <c r="AD11" s="64">
        <f t="shared" si="0"/>
        <v>0</v>
      </c>
      <c r="AE11" s="63">
        <f t="shared" si="0"/>
        <v>10066268.31</v>
      </c>
      <c r="AF11" s="64">
        <f t="shared" si="0"/>
        <v>0</v>
      </c>
      <c r="AG11" s="119">
        <f t="shared" si="0"/>
        <v>-1429132.6899999995</v>
      </c>
      <c r="AH11" s="116"/>
      <c r="AI11" s="120">
        <f>AE11/E11</f>
        <v>0.8756778741341864</v>
      </c>
    </row>
    <row r="12" spans="5:35" s="48" customFormat="1" ht="18" customHeight="1">
      <c r="E12" s="116"/>
      <c r="F12" s="55"/>
      <c r="G12" s="55"/>
      <c r="H12" s="55"/>
      <c r="I12" s="55"/>
      <c r="J12" s="55"/>
      <c r="K12" s="55"/>
      <c r="L12" s="55"/>
      <c r="M12" s="84"/>
      <c r="N12" s="55"/>
      <c r="O12" s="84"/>
      <c r="P12" s="56"/>
      <c r="Q12" s="90"/>
      <c r="R12" s="56"/>
      <c r="S12" s="90"/>
      <c r="T12" s="89"/>
      <c r="U12" s="90"/>
      <c r="V12" s="56"/>
      <c r="W12" s="57"/>
      <c r="X12" s="56"/>
      <c r="Y12" s="90"/>
      <c r="Z12" s="56"/>
      <c r="AA12" s="135"/>
      <c r="AB12" s="111"/>
      <c r="AC12" s="84"/>
      <c r="AD12" s="55"/>
      <c r="AE12" s="57"/>
      <c r="AF12" s="55"/>
      <c r="AG12" s="116"/>
      <c r="AH12" s="116"/>
      <c r="AI12" s="121"/>
    </row>
    <row r="13" spans="1:35" s="48" customFormat="1" ht="18" customHeight="1">
      <c r="A13" s="54" t="s">
        <v>10</v>
      </c>
      <c r="E13" s="116"/>
      <c r="F13" s="55"/>
      <c r="G13" s="55"/>
      <c r="H13" s="55"/>
      <c r="I13" s="55"/>
      <c r="J13" s="55"/>
      <c r="K13" s="55"/>
      <c r="L13" s="55"/>
      <c r="M13" s="84"/>
      <c r="N13" s="55"/>
      <c r="O13" s="84"/>
      <c r="P13" s="56"/>
      <c r="Q13" s="90"/>
      <c r="R13" s="56"/>
      <c r="S13" s="90"/>
      <c r="T13" s="89"/>
      <c r="U13" s="90"/>
      <c r="V13" s="56"/>
      <c r="W13" s="57"/>
      <c r="X13" s="56"/>
      <c r="Y13" s="90"/>
      <c r="Z13" s="56"/>
      <c r="AA13" s="135"/>
      <c r="AB13" s="111"/>
      <c r="AC13" s="84"/>
      <c r="AD13" s="55"/>
      <c r="AE13" s="57"/>
      <c r="AF13" s="55"/>
      <c r="AG13" s="116"/>
      <c r="AH13" s="116"/>
      <c r="AI13" s="118"/>
    </row>
    <row r="14" spans="2:35" s="48" customFormat="1" ht="18" customHeight="1">
      <c r="B14" s="48" t="s">
        <v>11</v>
      </c>
      <c r="E14" s="117">
        <f>+'40800'!I14</f>
        <v>87131</v>
      </c>
      <c r="F14" s="61"/>
      <c r="G14" s="61">
        <v>1880.01</v>
      </c>
      <c r="H14" s="61"/>
      <c r="I14" s="61">
        <v>4629.6</v>
      </c>
      <c r="J14" s="61"/>
      <c r="K14" s="61">
        <v>4177.85</v>
      </c>
      <c r="L14" s="61"/>
      <c r="M14" s="97">
        <v>7247.37</v>
      </c>
      <c r="N14" s="146"/>
      <c r="O14" s="97">
        <v>6171.93</v>
      </c>
      <c r="P14" s="106"/>
      <c r="Q14" s="99">
        <v>7013.41</v>
      </c>
      <c r="R14" s="106"/>
      <c r="S14" s="99">
        <v>6310.59</v>
      </c>
      <c r="T14" s="167"/>
      <c r="U14" s="99">
        <v>6010.94</v>
      </c>
      <c r="V14" s="106"/>
      <c r="W14" s="99">
        <v>5928</v>
      </c>
      <c r="X14" s="106"/>
      <c r="Y14" s="99">
        <v>10622</v>
      </c>
      <c r="Z14" s="106"/>
      <c r="AA14" s="147">
        <f>SUM(4200+2140+692)</f>
        <v>7032</v>
      </c>
      <c r="AB14" s="106"/>
      <c r="AC14" s="147">
        <f>SUM(4200+2140+692)</f>
        <v>7032</v>
      </c>
      <c r="AD14" s="146"/>
      <c r="AE14" s="147">
        <f>SUM(G14:AD14)</f>
        <v>74055.70000000001</v>
      </c>
      <c r="AF14" s="55"/>
      <c r="AG14" s="117">
        <f>+E14-AE14</f>
        <v>13075.299999999988</v>
      </c>
      <c r="AH14" s="116"/>
      <c r="AI14" s="118">
        <f>AE14/E14</f>
        <v>0.8499351551112694</v>
      </c>
    </row>
    <row r="15" spans="5:35" s="48" customFormat="1" ht="18" customHeight="1">
      <c r="E15" s="122"/>
      <c r="F15" s="58"/>
      <c r="G15" s="58"/>
      <c r="H15" s="58"/>
      <c r="I15" s="58"/>
      <c r="J15" s="58"/>
      <c r="K15" s="58"/>
      <c r="L15" s="58"/>
      <c r="M15" s="85"/>
      <c r="N15" s="109"/>
      <c r="O15" s="85"/>
      <c r="P15" s="108"/>
      <c r="Q15" s="87"/>
      <c r="R15" s="108"/>
      <c r="S15" s="87"/>
      <c r="T15" s="169"/>
      <c r="U15" s="87"/>
      <c r="V15" s="108"/>
      <c r="W15" s="87"/>
      <c r="X15" s="108"/>
      <c r="Y15" s="87"/>
      <c r="Z15" s="108"/>
      <c r="AA15" s="109"/>
      <c r="AB15" s="108"/>
      <c r="AC15" s="109"/>
      <c r="AD15" s="109"/>
      <c r="AE15" s="107"/>
      <c r="AF15" s="55"/>
      <c r="AG15" s="116"/>
      <c r="AH15" s="116"/>
      <c r="AI15" s="118"/>
    </row>
    <row r="16" spans="2:35" s="48" customFormat="1" ht="18" customHeight="1">
      <c r="B16" s="48" t="s">
        <v>12</v>
      </c>
      <c r="E16" s="122"/>
      <c r="F16" s="58"/>
      <c r="G16" s="58"/>
      <c r="H16" s="58"/>
      <c r="I16" s="58"/>
      <c r="J16" s="58"/>
      <c r="K16" s="58"/>
      <c r="L16" s="58"/>
      <c r="M16" s="85"/>
      <c r="N16" s="109"/>
      <c r="O16" s="85"/>
      <c r="P16" s="108"/>
      <c r="Q16" s="87"/>
      <c r="R16" s="108"/>
      <c r="S16" s="87"/>
      <c r="T16" s="169"/>
      <c r="U16" s="87"/>
      <c r="V16" s="108"/>
      <c r="W16" s="87"/>
      <c r="X16" s="108"/>
      <c r="Y16" s="87"/>
      <c r="Z16" s="108"/>
      <c r="AA16" s="109"/>
      <c r="AB16" s="108"/>
      <c r="AC16" s="109"/>
      <c r="AD16" s="109"/>
      <c r="AE16" s="107"/>
      <c r="AF16" s="55"/>
      <c r="AG16" s="116"/>
      <c r="AH16" s="116"/>
      <c r="AI16" s="118"/>
    </row>
    <row r="17" spans="3:35" s="48" customFormat="1" ht="18" customHeight="1">
      <c r="C17" s="48" t="s">
        <v>13</v>
      </c>
      <c r="E17" s="122">
        <f>+'40800'!I17</f>
        <v>135000</v>
      </c>
      <c r="F17" s="58"/>
      <c r="G17" s="58">
        <v>113911</v>
      </c>
      <c r="H17" s="58"/>
      <c r="I17" s="58">
        <v>0</v>
      </c>
      <c r="J17" s="58"/>
      <c r="K17" s="58">
        <v>0</v>
      </c>
      <c r="L17" s="58"/>
      <c r="M17" s="85">
        <v>0</v>
      </c>
      <c r="N17" s="109"/>
      <c r="O17" s="85">
        <v>0</v>
      </c>
      <c r="P17" s="108"/>
      <c r="Q17" s="87">
        <v>0</v>
      </c>
      <c r="R17" s="108"/>
      <c r="S17" s="87">
        <v>0</v>
      </c>
      <c r="T17" s="169"/>
      <c r="U17" s="87">
        <v>0</v>
      </c>
      <c r="V17" s="108"/>
      <c r="W17" s="87">
        <v>0</v>
      </c>
      <c r="X17" s="108"/>
      <c r="Y17" s="87">
        <v>0</v>
      </c>
      <c r="Z17" s="108"/>
      <c r="AA17" s="109">
        <v>0</v>
      </c>
      <c r="AB17" s="108"/>
      <c r="AC17" s="109">
        <v>0</v>
      </c>
      <c r="AD17" s="109"/>
      <c r="AE17" s="107">
        <f>SUM(G17:AC17)</f>
        <v>113911</v>
      </c>
      <c r="AF17" s="55"/>
      <c r="AG17" s="122">
        <f>+E17-AE17</f>
        <v>21089</v>
      </c>
      <c r="AH17" s="116"/>
      <c r="AI17" s="123">
        <f>+AE17/E17</f>
        <v>0.8437851851851852</v>
      </c>
    </row>
    <row r="18" spans="3:35" s="48" customFormat="1" ht="18" customHeight="1">
      <c r="C18" s="48" t="s">
        <v>42</v>
      </c>
      <c r="E18" s="122">
        <f>+'40800'!I18</f>
        <v>1000</v>
      </c>
      <c r="F18" s="58"/>
      <c r="G18" s="58">
        <v>0</v>
      </c>
      <c r="H18" s="58"/>
      <c r="I18" s="58">
        <v>0</v>
      </c>
      <c r="J18" s="58"/>
      <c r="K18" s="58">
        <v>0</v>
      </c>
      <c r="L18" s="58"/>
      <c r="M18" s="85">
        <v>0</v>
      </c>
      <c r="N18" s="109"/>
      <c r="O18" s="85">
        <v>0</v>
      </c>
      <c r="P18" s="108"/>
      <c r="Q18" s="87">
        <v>0</v>
      </c>
      <c r="R18" s="108"/>
      <c r="S18" s="87">
        <v>240</v>
      </c>
      <c r="T18" s="169"/>
      <c r="U18" s="87">
        <v>0</v>
      </c>
      <c r="V18" s="108"/>
      <c r="W18" s="87">
        <v>0</v>
      </c>
      <c r="X18" s="108"/>
      <c r="Y18" s="87">
        <v>0</v>
      </c>
      <c r="Z18" s="108"/>
      <c r="AA18" s="109">
        <v>0</v>
      </c>
      <c r="AB18" s="108"/>
      <c r="AC18" s="109">
        <v>0</v>
      </c>
      <c r="AD18" s="109"/>
      <c r="AE18" s="107">
        <f aca="true" t="shared" si="1" ref="AE18:AE34">SUM(G18:AC18)</f>
        <v>240</v>
      </c>
      <c r="AF18" s="55"/>
      <c r="AG18" s="122">
        <f aca="true" t="shared" si="2" ref="AG18:AG35">+E18-AE18</f>
        <v>760</v>
      </c>
      <c r="AH18" s="116"/>
      <c r="AI18" s="123">
        <f aca="true" t="shared" si="3" ref="AI18:AI38">+AE18/E18</f>
        <v>0.24</v>
      </c>
    </row>
    <row r="19" spans="3:35" s="48" customFormat="1" ht="18" customHeight="1">
      <c r="C19" s="48" t="s">
        <v>14</v>
      </c>
      <c r="E19" s="122">
        <f>+'40800'!I19</f>
        <v>1000</v>
      </c>
      <c r="F19" s="58"/>
      <c r="G19" s="58">
        <v>47.43</v>
      </c>
      <c r="H19" s="58"/>
      <c r="I19" s="58">
        <v>0</v>
      </c>
      <c r="J19" s="58"/>
      <c r="K19" s="58">
        <v>88.6</v>
      </c>
      <c r="L19" s="58"/>
      <c r="M19" s="85">
        <v>0</v>
      </c>
      <c r="N19" s="109"/>
      <c r="O19" s="85">
        <v>54.68</v>
      </c>
      <c r="P19" s="108"/>
      <c r="Q19" s="87">
        <v>141</v>
      </c>
      <c r="R19" s="108"/>
      <c r="S19" s="87">
        <v>46.16</v>
      </c>
      <c r="T19" s="169"/>
      <c r="U19" s="87">
        <v>153.63</v>
      </c>
      <c r="V19" s="108"/>
      <c r="W19" s="87">
        <v>102</v>
      </c>
      <c r="X19" s="108"/>
      <c r="Y19" s="87">
        <v>6</v>
      </c>
      <c r="Z19" s="108"/>
      <c r="AA19" s="109">
        <v>95</v>
      </c>
      <c r="AB19" s="108"/>
      <c r="AC19" s="109">
        <v>104</v>
      </c>
      <c r="AD19" s="109"/>
      <c r="AE19" s="107">
        <f t="shared" si="1"/>
        <v>838.5</v>
      </c>
      <c r="AF19" s="55"/>
      <c r="AG19" s="122">
        <f t="shared" si="2"/>
        <v>161.5</v>
      </c>
      <c r="AH19" s="116"/>
      <c r="AI19" s="123">
        <f t="shared" si="3"/>
        <v>0.8385</v>
      </c>
    </row>
    <row r="20" spans="2:35" s="73" customFormat="1" ht="18" customHeight="1">
      <c r="B20" s="158" t="s">
        <v>86</v>
      </c>
      <c r="C20" s="73" t="s">
        <v>54</v>
      </c>
      <c r="E20" s="122">
        <f>+'40800'!I20</f>
        <v>375000</v>
      </c>
      <c r="F20" s="60"/>
      <c r="G20" s="60">
        <v>0</v>
      </c>
      <c r="H20" s="60"/>
      <c r="I20" s="60">
        <v>0</v>
      </c>
      <c r="J20" s="60"/>
      <c r="K20" s="60">
        <v>0</v>
      </c>
      <c r="L20" s="60"/>
      <c r="M20" s="87">
        <v>117522.99</v>
      </c>
      <c r="N20" s="107"/>
      <c r="O20" s="87">
        <v>0</v>
      </c>
      <c r="P20" s="108"/>
      <c r="Q20" s="87">
        <v>49562.34</v>
      </c>
      <c r="R20" s="108"/>
      <c r="S20" s="87">
        <v>29525.86</v>
      </c>
      <c r="T20" s="169"/>
      <c r="U20" s="87">
        <v>36768.53</v>
      </c>
      <c r="V20" s="108"/>
      <c r="W20" s="87">
        <v>33215</v>
      </c>
      <c r="X20" s="108"/>
      <c r="Y20" s="87">
        <v>33788</v>
      </c>
      <c r="Z20" s="108"/>
      <c r="AA20" s="107">
        <v>36410</v>
      </c>
      <c r="AB20" s="108"/>
      <c r="AC20" s="107">
        <f>3*40000</f>
        <v>120000</v>
      </c>
      <c r="AD20" s="107"/>
      <c r="AE20" s="107">
        <f t="shared" si="1"/>
        <v>456792.72</v>
      </c>
      <c r="AF20" s="57"/>
      <c r="AG20" s="122">
        <f t="shared" si="2"/>
        <v>-81792.71999999997</v>
      </c>
      <c r="AH20" s="116"/>
      <c r="AI20" s="123">
        <f t="shared" si="3"/>
        <v>1.21811392</v>
      </c>
    </row>
    <row r="21" spans="3:35" s="48" customFormat="1" ht="18" customHeight="1">
      <c r="C21" s="48" t="s">
        <v>15</v>
      </c>
      <c r="E21" s="122">
        <f>+'40800'!I21</f>
        <v>320000</v>
      </c>
      <c r="F21" s="58"/>
      <c r="G21" s="58">
        <v>0</v>
      </c>
      <c r="H21" s="58"/>
      <c r="I21" s="58">
        <v>0</v>
      </c>
      <c r="J21" s="58"/>
      <c r="K21" s="58">
        <v>20490.37</v>
      </c>
      <c r="L21" s="58"/>
      <c r="M21" s="85">
        <v>5738.43</v>
      </c>
      <c r="N21" s="109"/>
      <c r="O21" s="85">
        <v>5097.81</v>
      </c>
      <c r="P21" s="108"/>
      <c r="Q21" s="87">
        <v>41833.07</v>
      </c>
      <c r="R21" s="108"/>
      <c r="S21" s="87">
        <v>27654.37</v>
      </c>
      <c r="T21" s="169"/>
      <c r="U21" s="87">
        <v>46746.09</v>
      </c>
      <c r="V21" s="108"/>
      <c r="W21" s="87">
        <v>39214</v>
      </c>
      <c r="X21" s="108"/>
      <c r="Y21" s="87">
        <v>28389</v>
      </c>
      <c r="Z21" s="108"/>
      <c r="AA21" s="109">
        <v>27000</v>
      </c>
      <c r="AB21" s="108"/>
      <c r="AC21" s="109">
        <v>58000</v>
      </c>
      <c r="AD21" s="109"/>
      <c r="AE21" s="107">
        <f t="shared" si="1"/>
        <v>300163.14</v>
      </c>
      <c r="AF21" s="55"/>
      <c r="AG21" s="122">
        <f t="shared" si="2"/>
        <v>19836.859999999986</v>
      </c>
      <c r="AH21" s="116"/>
      <c r="AI21" s="123">
        <f t="shared" si="3"/>
        <v>0.9380098125</v>
      </c>
    </row>
    <row r="22" spans="3:35" s="48" customFormat="1" ht="18" customHeight="1">
      <c r="C22" s="48" t="s">
        <v>43</v>
      </c>
      <c r="E22" s="122">
        <f>+'40800'!I22</f>
        <v>4800</v>
      </c>
      <c r="F22" s="58"/>
      <c r="G22" s="58">
        <v>400</v>
      </c>
      <c r="H22" s="58"/>
      <c r="I22" s="58">
        <v>0</v>
      </c>
      <c r="J22" s="58"/>
      <c r="K22" s="58">
        <v>800</v>
      </c>
      <c r="L22" s="58"/>
      <c r="M22" s="85">
        <v>300</v>
      </c>
      <c r="N22" s="109"/>
      <c r="O22" s="85">
        <v>400</v>
      </c>
      <c r="P22" s="108"/>
      <c r="Q22" s="87">
        <v>0</v>
      </c>
      <c r="R22" s="108"/>
      <c r="S22" s="87">
        <v>400</v>
      </c>
      <c r="T22" s="169"/>
      <c r="U22" s="87">
        <v>700</v>
      </c>
      <c r="V22" s="108"/>
      <c r="W22" s="87">
        <v>0</v>
      </c>
      <c r="X22" s="108"/>
      <c r="Y22" s="87">
        <v>400</v>
      </c>
      <c r="Z22" s="108"/>
      <c r="AA22" s="109">
        <v>400</v>
      </c>
      <c r="AB22" s="108"/>
      <c r="AC22" s="109">
        <v>400</v>
      </c>
      <c r="AD22" s="109"/>
      <c r="AE22" s="107">
        <f t="shared" si="1"/>
        <v>4200</v>
      </c>
      <c r="AF22" s="55"/>
      <c r="AG22" s="122">
        <f t="shared" si="2"/>
        <v>600</v>
      </c>
      <c r="AH22" s="116"/>
      <c r="AI22" s="123">
        <f t="shared" si="3"/>
        <v>0.875</v>
      </c>
    </row>
    <row r="23" spans="3:35" s="73" customFormat="1" ht="18" customHeight="1">
      <c r="C23" s="73" t="s">
        <v>44</v>
      </c>
      <c r="E23" s="122">
        <f>+'40800'!I23</f>
        <v>125000</v>
      </c>
      <c r="F23" s="60"/>
      <c r="G23" s="60">
        <v>0</v>
      </c>
      <c r="H23" s="60"/>
      <c r="I23" s="60">
        <v>2400</v>
      </c>
      <c r="J23" s="60"/>
      <c r="K23" s="60">
        <v>1207.35</v>
      </c>
      <c r="L23" s="60"/>
      <c r="M23" s="87">
        <v>6755.7</v>
      </c>
      <c r="N23" s="107"/>
      <c r="O23" s="87">
        <v>1200</v>
      </c>
      <c r="P23" s="108"/>
      <c r="Q23" s="87">
        <v>0</v>
      </c>
      <c r="R23" s="108"/>
      <c r="S23" s="87">
        <v>19974.86</v>
      </c>
      <c r="T23" s="169"/>
      <c r="U23" s="87">
        <v>9000</v>
      </c>
      <c r="V23" s="108"/>
      <c r="W23" s="87">
        <v>1200</v>
      </c>
      <c r="X23" s="108"/>
      <c r="Y23" s="87">
        <v>2856</v>
      </c>
      <c r="Z23" s="108"/>
      <c r="AA23" s="107">
        <v>12000</v>
      </c>
      <c r="AB23" s="108"/>
      <c r="AC23" s="107">
        <v>25393</v>
      </c>
      <c r="AD23" s="107"/>
      <c r="AE23" s="107">
        <f t="shared" si="1"/>
        <v>81986.91</v>
      </c>
      <c r="AF23" s="57"/>
      <c r="AG23" s="122">
        <f t="shared" si="2"/>
        <v>43013.09</v>
      </c>
      <c r="AH23" s="116"/>
      <c r="AI23" s="123">
        <f t="shared" si="3"/>
        <v>0.6558952800000001</v>
      </c>
    </row>
    <row r="24" spans="2:35" s="48" customFormat="1" ht="18" customHeight="1">
      <c r="B24" s="137" t="s">
        <v>86</v>
      </c>
      <c r="C24" s="48" t="s">
        <v>45</v>
      </c>
      <c r="E24" s="122">
        <f>+'40800'!I24</f>
        <v>4713160</v>
      </c>
      <c r="F24" s="58"/>
      <c r="G24" s="58">
        <v>0</v>
      </c>
      <c r="H24" s="58"/>
      <c r="I24" s="58">
        <v>0</v>
      </c>
      <c r="J24" s="58"/>
      <c r="K24" s="58">
        <v>836649.53</v>
      </c>
      <c r="L24" s="58"/>
      <c r="M24" s="85">
        <v>0</v>
      </c>
      <c r="N24" s="109"/>
      <c r="O24" s="85">
        <v>356674.54</v>
      </c>
      <c r="P24" s="108"/>
      <c r="Q24" s="87">
        <v>0</v>
      </c>
      <c r="R24" s="108"/>
      <c r="S24" s="87">
        <v>666202.21</v>
      </c>
      <c r="T24" s="169"/>
      <c r="U24" s="87">
        <v>318676.6</v>
      </c>
      <c r="V24" s="108"/>
      <c r="W24" s="87">
        <v>600307</v>
      </c>
      <c r="X24" s="108"/>
      <c r="Y24" s="87">
        <v>385157</v>
      </c>
      <c r="Z24" s="108"/>
      <c r="AA24" s="109">
        <v>340000</v>
      </c>
      <c r="AB24" s="108"/>
      <c r="AC24" s="109">
        <v>680000</v>
      </c>
      <c r="AD24" s="109"/>
      <c r="AE24" s="107">
        <f t="shared" si="1"/>
        <v>4183666.88</v>
      </c>
      <c r="AF24" s="55"/>
      <c r="AG24" s="122">
        <f t="shared" si="2"/>
        <v>529493.1200000001</v>
      </c>
      <c r="AH24" s="116"/>
      <c r="AI24" s="123">
        <f t="shared" si="3"/>
        <v>0.8876564512980675</v>
      </c>
    </row>
    <row r="25" spans="2:35" s="48" customFormat="1" ht="18" customHeight="1">
      <c r="B25" s="137" t="s">
        <v>86</v>
      </c>
      <c r="C25" s="48" t="s">
        <v>46</v>
      </c>
      <c r="E25" s="122">
        <f>+'40800'!I25</f>
        <v>5066320</v>
      </c>
      <c r="F25" s="58"/>
      <c r="G25" s="58">
        <v>0</v>
      </c>
      <c r="H25" s="58"/>
      <c r="I25" s="58">
        <v>0</v>
      </c>
      <c r="J25" s="58"/>
      <c r="K25" s="58">
        <v>826305.5</v>
      </c>
      <c r="L25" s="58"/>
      <c r="M25" s="85">
        <v>403874.99</v>
      </c>
      <c r="N25" s="109"/>
      <c r="O25" s="85">
        <v>0</v>
      </c>
      <c r="P25" s="108"/>
      <c r="Q25" s="87">
        <v>395406.56</v>
      </c>
      <c r="R25" s="108"/>
      <c r="S25" s="87">
        <v>332480.33</v>
      </c>
      <c r="T25" s="169"/>
      <c r="U25" s="87">
        <v>698935.77</v>
      </c>
      <c r="V25" s="108"/>
      <c r="W25" s="87">
        <v>307942</v>
      </c>
      <c r="X25" s="108"/>
      <c r="Y25" s="87">
        <v>0</v>
      </c>
      <c r="Z25" s="108"/>
      <c r="AA25" s="109">
        <f>353463+362171</f>
        <v>715634</v>
      </c>
      <c r="AB25" s="108"/>
      <c r="AC25" s="109">
        <v>700000</v>
      </c>
      <c r="AD25" s="109"/>
      <c r="AE25" s="107">
        <f t="shared" si="1"/>
        <v>4380579.15</v>
      </c>
      <c r="AF25" s="55"/>
      <c r="AG25" s="122">
        <f t="shared" si="2"/>
        <v>685740.8499999996</v>
      </c>
      <c r="AH25" s="116"/>
      <c r="AI25" s="123">
        <f t="shared" si="3"/>
        <v>0.8646471501997506</v>
      </c>
    </row>
    <row r="26" spans="3:35" s="73" customFormat="1" ht="18" customHeight="1">
      <c r="C26" s="73" t="s">
        <v>47</v>
      </c>
      <c r="E26" s="122">
        <f>+'40800'!I26</f>
        <v>548000</v>
      </c>
      <c r="F26" s="60"/>
      <c r="G26" s="60">
        <v>0</v>
      </c>
      <c r="H26" s="60"/>
      <c r="I26" s="60">
        <v>0</v>
      </c>
      <c r="J26" s="60"/>
      <c r="K26" s="60">
        <v>0</v>
      </c>
      <c r="L26" s="60"/>
      <c r="M26" s="87">
        <v>123064.07</v>
      </c>
      <c r="N26" s="107"/>
      <c r="O26" s="87">
        <v>0</v>
      </c>
      <c r="P26" s="108"/>
      <c r="Q26" s="87">
        <v>0</v>
      </c>
      <c r="R26" s="108"/>
      <c r="S26" s="87">
        <v>0</v>
      </c>
      <c r="T26" s="169"/>
      <c r="U26" s="87">
        <v>19546.6</v>
      </c>
      <c r="V26" s="108"/>
      <c r="W26" s="87">
        <v>662</v>
      </c>
      <c r="X26" s="108"/>
      <c r="Y26" s="87">
        <v>0</v>
      </c>
      <c r="Z26" s="108"/>
      <c r="AA26" s="107">
        <v>125000</v>
      </c>
      <c r="AB26" s="108"/>
      <c r="AC26" s="107">
        <v>125000</v>
      </c>
      <c r="AD26" s="107"/>
      <c r="AE26" s="107">
        <f t="shared" si="1"/>
        <v>393272.67000000004</v>
      </c>
      <c r="AF26" s="57"/>
      <c r="AG26" s="122">
        <f t="shared" si="2"/>
        <v>154727.32999999996</v>
      </c>
      <c r="AH26" s="116"/>
      <c r="AI26" s="123">
        <f t="shared" si="3"/>
        <v>0.7176508576642336</v>
      </c>
    </row>
    <row r="27" spans="3:35" s="48" customFormat="1" ht="18" customHeight="1">
      <c r="C27" s="48" t="s">
        <v>48</v>
      </c>
      <c r="E27" s="122">
        <f>+'40800'!I27</f>
        <v>5000</v>
      </c>
      <c r="F27" s="58"/>
      <c r="G27" s="58">
        <v>0</v>
      </c>
      <c r="H27" s="58"/>
      <c r="I27" s="58">
        <v>0</v>
      </c>
      <c r="J27" s="58"/>
      <c r="K27" s="58">
        <v>290.89</v>
      </c>
      <c r="L27" s="58"/>
      <c r="M27" s="85">
        <v>598.82</v>
      </c>
      <c r="N27" s="109"/>
      <c r="O27" s="85">
        <v>0</v>
      </c>
      <c r="P27" s="108"/>
      <c r="Q27" s="87">
        <v>0</v>
      </c>
      <c r="R27" s="108"/>
      <c r="S27" s="87">
        <v>0</v>
      </c>
      <c r="T27" s="169"/>
      <c r="U27" s="87">
        <v>261.99</v>
      </c>
      <c r="V27" s="108"/>
      <c r="W27" s="87">
        <v>0</v>
      </c>
      <c r="X27" s="108"/>
      <c r="Y27" s="87">
        <v>0</v>
      </c>
      <c r="Z27" s="108"/>
      <c r="AA27" s="109">
        <v>1000</v>
      </c>
      <c r="AB27" s="108"/>
      <c r="AC27" s="109">
        <v>1000</v>
      </c>
      <c r="AD27" s="109"/>
      <c r="AE27" s="107">
        <f t="shared" si="1"/>
        <v>3151.7</v>
      </c>
      <c r="AF27" s="55"/>
      <c r="AG27" s="122">
        <f t="shared" si="2"/>
        <v>1848.3000000000002</v>
      </c>
      <c r="AH27" s="116"/>
      <c r="AI27" s="123">
        <f t="shared" si="3"/>
        <v>0.63034</v>
      </c>
    </row>
    <row r="28" spans="3:35" s="73" customFormat="1" ht="18" customHeight="1">
      <c r="C28" s="73" t="s">
        <v>16</v>
      </c>
      <c r="E28" s="122">
        <f>+'40800'!I28</f>
        <v>750</v>
      </c>
      <c r="F28" s="60"/>
      <c r="G28" s="60">
        <v>0</v>
      </c>
      <c r="H28" s="60"/>
      <c r="I28" s="60">
        <v>0</v>
      </c>
      <c r="J28" s="60"/>
      <c r="K28" s="60">
        <v>0</v>
      </c>
      <c r="L28" s="60"/>
      <c r="M28" s="87">
        <v>209.8</v>
      </c>
      <c r="N28" s="107"/>
      <c r="O28" s="87">
        <v>197</v>
      </c>
      <c r="P28" s="108"/>
      <c r="Q28" s="87">
        <v>0</v>
      </c>
      <c r="R28" s="108"/>
      <c r="S28" s="87">
        <v>0</v>
      </c>
      <c r="T28" s="169"/>
      <c r="U28" s="87">
        <v>0</v>
      </c>
      <c r="V28" s="108"/>
      <c r="W28" s="87">
        <v>0</v>
      </c>
      <c r="X28" s="108"/>
      <c r="Y28" s="87">
        <v>0</v>
      </c>
      <c r="Z28" s="108"/>
      <c r="AA28" s="107">
        <v>0</v>
      </c>
      <c r="AB28" s="108"/>
      <c r="AC28" s="107">
        <v>100</v>
      </c>
      <c r="AD28" s="107"/>
      <c r="AE28" s="107">
        <f t="shared" si="1"/>
        <v>506.8</v>
      </c>
      <c r="AF28" s="57"/>
      <c r="AG28" s="122">
        <f t="shared" si="2"/>
        <v>243.2</v>
      </c>
      <c r="AH28" s="116"/>
      <c r="AI28" s="123">
        <f t="shared" si="3"/>
        <v>0.6757333333333333</v>
      </c>
    </row>
    <row r="29" spans="3:35" s="48" customFormat="1" ht="18" customHeight="1">
      <c r="C29" s="48" t="s">
        <v>49</v>
      </c>
      <c r="E29" s="122">
        <f>+'40800'!I29</f>
        <v>8000</v>
      </c>
      <c r="F29" s="58"/>
      <c r="G29" s="58">
        <v>292.93</v>
      </c>
      <c r="H29" s="58"/>
      <c r="I29" s="58">
        <v>290.88</v>
      </c>
      <c r="J29" s="58"/>
      <c r="K29" s="58">
        <v>336.7</v>
      </c>
      <c r="L29" s="58"/>
      <c r="M29" s="85">
        <v>285.69</v>
      </c>
      <c r="N29" s="109"/>
      <c r="O29" s="85">
        <v>307.86</v>
      </c>
      <c r="P29" s="108"/>
      <c r="Q29" s="87">
        <v>4.67</v>
      </c>
      <c r="R29" s="108"/>
      <c r="S29" s="87">
        <v>525.44</v>
      </c>
      <c r="T29" s="169"/>
      <c r="U29" s="87">
        <v>256.53</v>
      </c>
      <c r="V29" s="108"/>
      <c r="W29" s="87">
        <v>224</v>
      </c>
      <c r="X29" s="108"/>
      <c r="Y29" s="87">
        <v>0</v>
      </c>
      <c r="Z29" s="108"/>
      <c r="AA29" s="109">
        <v>600</v>
      </c>
      <c r="AB29" s="108"/>
      <c r="AC29" s="109">
        <v>2279</v>
      </c>
      <c r="AD29" s="109"/>
      <c r="AE29" s="107">
        <f t="shared" si="1"/>
        <v>5403.7</v>
      </c>
      <c r="AF29" s="55"/>
      <c r="AG29" s="122">
        <f t="shared" si="2"/>
        <v>2596.3</v>
      </c>
      <c r="AH29" s="116"/>
      <c r="AI29" s="123">
        <f t="shared" si="3"/>
        <v>0.6754625</v>
      </c>
    </row>
    <row r="30" spans="3:35" s="48" customFormat="1" ht="18" customHeight="1">
      <c r="C30" s="48" t="s">
        <v>17</v>
      </c>
      <c r="E30" s="122">
        <f>+'40800'!I30</f>
        <v>1000</v>
      </c>
      <c r="F30" s="58"/>
      <c r="G30" s="58">
        <v>0</v>
      </c>
      <c r="H30" s="58"/>
      <c r="I30" s="58">
        <v>0</v>
      </c>
      <c r="J30" s="58"/>
      <c r="K30" s="58">
        <v>0</v>
      </c>
      <c r="L30" s="58"/>
      <c r="M30" s="85">
        <v>0</v>
      </c>
      <c r="N30" s="109"/>
      <c r="O30" s="85">
        <v>0</v>
      </c>
      <c r="P30" s="108"/>
      <c r="Q30" s="87">
        <v>0</v>
      </c>
      <c r="R30" s="108"/>
      <c r="S30" s="87">
        <v>0</v>
      </c>
      <c r="T30" s="169"/>
      <c r="U30" s="87">
        <v>0</v>
      </c>
      <c r="V30" s="108"/>
      <c r="W30" s="87">
        <v>20</v>
      </c>
      <c r="X30" s="108"/>
      <c r="Y30" s="87">
        <v>0</v>
      </c>
      <c r="Z30" s="108"/>
      <c r="AA30" s="109">
        <v>0</v>
      </c>
      <c r="AB30" s="108"/>
      <c r="AC30" s="109">
        <v>980</v>
      </c>
      <c r="AD30" s="109"/>
      <c r="AE30" s="107">
        <f t="shared" si="1"/>
        <v>1000</v>
      </c>
      <c r="AF30" s="55"/>
      <c r="AG30" s="133">
        <f t="shared" si="2"/>
        <v>0</v>
      </c>
      <c r="AH30" s="116"/>
      <c r="AI30" s="123">
        <f t="shared" si="3"/>
        <v>1</v>
      </c>
    </row>
    <row r="31" spans="3:35" s="73" customFormat="1" ht="18" customHeight="1">
      <c r="C31" s="73" t="s">
        <v>50</v>
      </c>
      <c r="E31" s="122">
        <f>+'40800'!I31</f>
        <v>75000</v>
      </c>
      <c r="F31" s="60"/>
      <c r="G31" s="60">
        <v>0</v>
      </c>
      <c r="H31" s="60"/>
      <c r="I31" s="60">
        <v>0</v>
      </c>
      <c r="J31" s="60"/>
      <c r="K31" s="60">
        <v>0</v>
      </c>
      <c r="L31" s="60"/>
      <c r="M31" s="87">
        <v>770</v>
      </c>
      <c r="N31" s="107"/>
      <c r="O31" s="87">
        <v>23085.47</v>
      </c>
      <c r="P31" s="108"/>
      <c r="Q31" s="87">
        <v>0</v>
      </c>
      <c r="R31" s="108"/>
      <c r="S31" s="87">
        <v>0</v>
      </c>
      <c r="T31" s="169"/>
      <c r="U31" s="87">
        <v>0</v>
      </c>
      <c r="V31" s="108"/>
      <c r="W31" s="87">
        <v>0</v>
      </c>
      <c r="X31" s="108"/>
      <c r="Y31" s="87">
        <v>876</v>
      </c>
      <c r="Z31" s="108"/>
      <c r="AA31" s="107">
        <v>0</v>
      </c>
      <c r="AB31" s="108"/>
      <c r="AC31" s="107">
        <v>17000</v>
      </c>
      <c r="AD31" s="107"/>
      <c r="AE31" s="107">
        <f t="shared" si="1"/>
        <v>41731.47</v>
      </c>
      <c r="AF31" s="57"/>
      <c r="AG31" s="122">
        <f>+E31-AE31+0.08</f>
        <v>33268.61</v>
      </c>
      <c r="AH31" s="116"/>
      <c r="AI31" s="123">
        <f t="shared" si="3"/>
        <v>0.5564196</v>
      </c>
    </row>
    <row r="32" spans="3:35" s="48" customFormat="1" ht="18" customHeight="1">
      <c r="C32" s="48" t="s">
        <v>51</v>
      </c>
      <c r="E32" s="122">
        <f>+'40800'!I32</f>
        <v>18000</v>
      </c>
      <c r="F32" s="58"/>
      <c r="G32" s="58">
        <v>0</v>
      </c>
      <c r="H32" s="58"/>
      <c r="I32" s="58">
        <v>1096</v>
      </c>
      <c r="J32" s="58"/>
      <c r="K32" s="58">
        <v>0</v>
      </c>
      <c r="L32" s="58"/>
      <c r="M32" s="85">
        <v>0</v>
      </c>
      <c r="N32" s="109"/>
      <c r="O32" s="85">
        <v>1008</v>
      </c>
      <c r="P32" s="108"/>
      <c r="Q32" s="87">
        <v>13403</v>
      </c>
      <c r="R32" s="108"/>
      <c r="S32" s="87">
        <v>3133</v>
      </c>
      <c r="T32" s="169"/>
      <c r="U32" s="87">
        <v>0</v>
      </c>
      <c r="V32" s="108"/>
      <c r="W32" s="87">
        <v>0</v>
      </c>
      <c r="X32" s="108"/>
      <c r="Y32" s="87">
        <v>0</v>
      </c>
      <c r="Z32" s="108"/>
      <c r="AA32" s="109">
        <v>0</v>
      </c>
      <c r="AB32" s="108"/>
      <c r="AC32" s="109">
        <v>2664</v>
      </c>
      <c r="AD32" s="109"/>
      <c r="AE32" s="107">
        <f t="shared" si="1"/>
        <v>21304</v>
      </c>
      <c r="AF32" s="55"/>
      <c r="AG32" s="122">
        <f>+E32-AE32+0.5</f>
        <v>-3303.5</v>
      </c>
      <c r="AH32" s="116"/>
      <c r="AI32" s="123">
        <f t="shared" si="3"/>
        <v>1.1835555555555555</v>
      </c>
    </row>
    <row r="33" spans="3:35" s="48" customFormat="1" ht="18" customHeight="1">
      <c r="C33" s="48" t="s">
        <v>87</v>
      </c>
      <c r="E33" s="122">
        <f>+'40800'!I33</f>
        <v>240</v>
      </c>
      <c r="F33" s="58"/>
      <c r="G33" s="58">
        <v>15.49</v>
      </c>
      <c r="H33" s="58"/>
      <c r="I33" s="58">
        <v>0</v>
      </c>
      <c r="J33" s="58"/>
      <c r="K33" s="58">
        <v>31.01</v>
      </c>
      <c r="L33" s="58"/>
      <c r="M33" s="85">
        <v>0</v>
      </c>
      <c r="N33" s="109"/>
      <c r="O33" s="85">
        <v>15.51</v>
      </c>
      <c r="P33" s="108"/>
      <c r="Q33" s="87">
        <v>15.51</v>
      </c>
      <c r="R33" s="108"/>
      <c r="S33" s="87">
        <v>15.51</v>
      </c>
      <c r="T33" s="169"/>
      <c r="U33" s="87">
        <v>15.4</v>
      </c>
      <c r="V33" s="108"/>
      <c r="W33" s="87">
        <v>42</v>
      </c>
      <c r="X33" s="108"/>
      <c r="Y33" s="87"/>
      <c r="Z33" s="108"/>
      <c r="AA33" s="109">
        <v>20</v>
      </c>
      <c r="AB33" s="108"/>
      <c r="AC33" s="109">
        <v>33</v>
      </c>
      <c r="AD33" s="109"/>
      <c r="AE33" s="107">
        <f t="shared" si="1"/>
        <v>203.43</v>
      </c>
      <c r="AF33" s="55"/>
      <c r="AG33" s="122">
        <f t="shared" si="2"/>
        <v>36.56999999999999</v>
      </c>
      <c r="AH33" s="116"/>
      <c r="AI33" s="145" t="s">
        <v>89</v>
      </c>
    </row>
    <row r="34" spans="3:35" s="48" customFormat="1" ht="18" customHeight="1">
      <c r="C34" s="48" t="s">
        <v>18</v>
      </c>
      <c r="E34" s="122">
        <f>+'40800'!I34</f>
        <v>10000</v>
      </c>
      <c r="F34" s="58"/>
      <c r="G34" s="58">
        <v>0</v>
      </c>
      <c r="H34" s="58"/>
      <c r="I34" s="58">
        <v>0</v>
      </c>
      <c r="J34" s="58"/>
      <c r="K34" s="58">
        <v>0</v>
      </c>
      <c r="L34" s="58"/>
      <c r="M34" s="85">
        <v>0</v>
      </c>
      <c r="N34" s="109"/>
      <c r="O34" s="85">
        <v>0</v>
      </c>
      <c r="P34" s="108"/>
      <c r="Q34" s="87">
        <v>0</v>
      </c>
      <c r="R34" s="108"/>
      <c r="S34" s="87">
        <v>0</v>
      </c>
      <c r="T34" s="169"/>
      <c r="U34" s="87">
        <v>0</v>
      </c>
      <c r="V34" s="108"/>
      <c r="W34" s="87">
        <v>0</v>
      </c>
      <c r="X34" s="108"/>
      <c r="Y34" s="87">
        <v>0</v>
      </c>
      <c r="Z34" s="108"/>
      <c r="AA34" s="148">
        <v>2000</v>
      </c>
      <c r="AB34" s="108"/>
      <c r="AC34" s="109">
        <v>1000</v>
      </c>
      <c r="AD34" s="109"/>
      <c r="AE34" s="107">
        <f t="shared" si="1"/>
        <v>3000</v>
      </c>
      <c r="AF34" s="55"/>
      <c r="AG34" s="122">
        <f t="shared" si="2"/>
        <v>7000</v>
      </c>
      <c r="AH34" s="116"/>
      <c r="AI34" s="123">
        <f t="shared" si="3"/>
        <v>0.3</v>
      </c>
    </row>
    <row r="35" spans="3:35" s="48" customFormat="1" ht="18" customHeight="1">
      <c r="C35" s="48" t="s">
        <v>53</v>
      </c>
      <c r="E35" s="122">
        <f>+'40800'!I35</f>
        <v>1000</v>
      </c>
      <c r="F35" s="58"/>
      <c r="G35" s="65">
        <v>0</v>
      </c>
      <c r="H35" s="58"/>
      <c r="I35" s="65">
        <v>0</v>
      </c>
      <c r="J35" s="65"/>
      <c r="K35" s="65">
        <v>0</v>
      </c>
      <c r="L35" s="58"/>
      <c r="M35" s="155">
        <v>0</v>
      </c>
      <c r="N35" s="109"/>
      <c r="O35" s="155">
        <v>0</v>
      </c>
      <c r="P35" s="108"/>
      <c r="Q35" s="129">
        <v>0</v>
      </c>
      <c r="R35" s="108"/>
      <c r="S35" s="129">
        <v>60.14</v>
      </c>
      <c r="T35" s="169"/>
      <c r="U35" s="129">
        <v>0</v>
      </c>
      <c r="V35" s="108"/>
      <c r="W35" s="129">
        <v>0</v>
      </c>
      <c r="X35" s="108"/>
      <c r="Y35" s="129">
        <v>0</v>
      </c>
      <c r="Z35" s="108"/>
      <c r="AA35" s="149">
        <v>100</v>
      </c>
      <c r="AB35" s="108"/>
      <c r="AC35" s="149">
        <v>100</v>
      </c>
      <c r="AD35" s="109"/>
      <c r="AE35" s="150">
        <f>SUM(G35:AC35)+0.4</f>
        <v>260.53999999999996</v>
      </c>
      <c r="AF35" s="55"/>
      <c r="AG35" s="124">
        <f t="shared" si="2"/>
        <v>739.46</v>
      </c>
      <c r="AH35" s="116"/>
      <c r="AI35" s="123">
        <f t="shared" si="3"/>
        <v>0.26053999999999994</v>
      </c>
    </row>
    <row r="36" spans="4:35" s="66" customFormat="1" ht="18" customHeight="1">
      <c r="D36" s="66" t="s">
        <v>19</v>
      </c>
      <c r="E36" s="125">
        <f>SUM(E17:E35)</f>
        <v>11408270</v>
      </c>
      <c r="F36" s="67"/>
      <c r="G36" s="67">
        <f>SUM(G17:G35)</f>
        <v>114666.84999999999</v>
      </c>
      <c r="H36" s="67"/>
      <c r="I36" s="67">
        <f>SUM(I17:I35)</f>
        <v>3786.88</v>
      </c>
      <c r="J36" s="67"/>
      <c r="K36" s="67">
        <f>SUM(K17:K35)</f>
        <v>1686199.95</v>
      </c>
      <c r="L36" s="67"/>
      <c r="M36" s="143">
        <f>SUM(M17:M35)</f>
        <v>659120.4899999999</v>
      </c>
      <c r="N36" s="67"/>
      <c r="O36" s="143">
        <f>SUM(O17:O35)</f>
        <v>388040.87</v>
      </c>
      <c r="P36" s="59"/>
      <c r="Q36" s="86">
        <f>SUM(Q17:Q35)</f>
        <v>500366.14999999997</v>
      </c>
      <c r="R36" s="59"/>
      <c r="S36" s="86">
        <f>SUM(S17:S35)</f>
        <v>1080257.88</v>
      </c>
      <c r="T36" s="86"/>
      <c r="U36" s="86">
        <f>SUM(U17:U35)</f>
        <v>1131061.1400000001</v>
      </c>
      <c r="V36" s="59"/>
      <c r="W36" s="59">
        <f>SUM(W17:W35)</f>
        <v>982928</v>
      </c>
      <c r="X36" s="59"/>
      <c r="Y36" s="86">
        <f>SUM(Y17:Y35)</f>
        <v>451472</v>
      </c>
      <c r="Z36" s="59"/>
      <c r="AA36" s="86">
        <f>SUM(AA17:AA35)</f>
        <v>1260259</v>
      </c>
      <c r="AB36" s="108"/>
      <c r="AC36" s="143">
        <f>SUM(AC17:AC35)</f>
        <v>1734053</v>
      </c>
      <c r="AD36" s="67"/>
      <c r="AE36" s="59">
        <f>SUM(AE17:AE35)+1</f>
        <v>9992213.61</v>
      </c>
      <c r="AF36" s="68"/>
      <c r="AG36" s="125">
        <f>SUM(AG17:AG35)</f>
        <v>1416057.97</v>
      </c>
      <c r="AH36" s="126"/>
      <c r="AI36" s="123"/>
    </row>
    <row r="37" spans="5:35" s="48" customFormat="1" ht="18" customHeight="1">
      <c r="E37" s="122"/>
      <c r="F37" s="58"/>
      <c r="G37" s="58"/>
      <c r="H37" s="58"/>
      <c r="I37" s="58"/>
      <c r="J37" s="58"/>
      <c r="K37" s="58"/>
      <c r="L37" s="58"/>
      <c r="M37" s="85"/>
      <c r="N37" s="58"/>
      <c r="O37" s="85"/>
      <c r="P37" s="59"/>
      <c r="Q37" s="87"/>
      <c r="R37" s="59"/>
      <c r="S37" s="87"/>
      <c r="T37" s="86"/>
      <c r="U37" s="87"/>
      <c r="V37" s="59"/>
      <c r="W37" s="60"/>
      <c r="X37" s="59"/>
      <c r="Y37" s="87"/>
      <c r="Z37" s="59"/>
      <c r="AA37" s="107"/>
      <c r="AB37" s="108"/>
      <c r="AC37" s="85"/>
      <c r="AD37" s="58"/>
      <c r="AE37" s="60"/>
      <c r="AF37" s="55"/>
      <c r="AG37" s="116"/>
      <c r="AH37" s="116"/>
      <c r="AI37" s="118"/>
    </row>
    <row r="38" spans="1:35" s="48" customFormat="1" ht="18" customHeight="1">
      <c r="A38" s="54" t="s">
        <v>20</v>
      </c>
      <c r="E38" s="127">
        <f>+E14+E36</f>
        <v>11495401</v>
      </c>
      <c r="F38" s="70"/>
      <c r="G38" s="69">
        <f>+G14+G36</f>
        <v>116546.85999999999</v>
      </c>
      <c r="H38" s="70"/>
      <c r="I38" s="69">
        <f>+I14+I36</f>
        <v>8416.48</v>
      </c>
      <c r="J38" s="69"/>
      <c r="K38" s="69">
        <f>+K14+K36</f>
        <v>1690377.8</v>
      </c>
      <c r="L38" s="70"/>
      <c r="M38" s="144">
        <f>+M14+M36</f>
        <v>666367.8599999999</v>
      </c>
      <c r="N38" s="70"/>
      <c r="O38" s="144">
        <f>+O14+O36</f>
        <v>394212.8</v>
      </c>
      <c r="P38" s="71"/>
      <c r="Q38" s="144">
        <f>+Q14+Q36</f>
        <v>507379.55999999994</v>
      </c>
      <c r="R38" s="71"/>
      <c r="S38" s="144">
        <f>+S14+S36</f>
        <v>1086568.47</v>
      </c>
      <c r="T38" s="170"/>
      <c r="U38" s="144">
        <f>+U14+U36</f>
        <v>1137072.08</v>
      </c>
      <c r="V38" s="71"/>
      <c r="W38" s="69">
        <f>+W14+W36</f>
        <v>988856</v>
      </c>
      <c r="X38" s="71"/>
      <c r="Y38" s="144">
        <f>+Y14+Y36</f>
        <v>462094</v>
      </c>
      <c r="Z38" s="71"/>
      <c r="AA38" s="69">
        <f>+AA14+AA36</f>
        <v>1267291</v>
      </c>
      <c r="AB38" s="112"/>
      <c r="AC38" s="144">
        <f>+AC14+AC36</f>
        <v>1741085</v>
      </c>
      <c r="AD38" s="70"/>
      <c r="AE38" s="69">
        <f>+AE14+AE36-1</f>
        <v>10066268.309999999</v>
      </c>
      <c r="AF38" s="55"/>
      <c r="AG38" s="127">
        <f>+AG14+AG36</f>
        <v>1429133.27</v>
      </c>
      <c r="AH38" s="116"/>
      <c r="AI38" s="120">
        <f t="shared" si="3"/>
        <v>0.8756778741341863</v>
      </c>
    </row>
    <row r="39" spans="1:35" s="73" customFormat="1" ht="18" customHeight="1">
      <c r="A39" s="72"/>
      <c r="E39" s="122"/>
      <c r="F39" s="60"/>
      <c r="G39" s="60"/>
      <c r="H39" s="60"/>
      <c r="I39" s="60"/>
      <c r="J39" s="60"/>
      <c r="K39" s="60"/>
      <c r="L39" s="60"/>
      <c r="M39" s="87"/>
      <c r="N39" s="60"/>
      <c r="O39" s="87"/>
      <c r="P39" s="59"/>
      <c r="Q39" s="87"/>
      <c r="R39" s="59"/>
      <c r="S39" s="87"/>
      <c r="T39" s="86"/>
      <c r="U39" s="87"/>
      <c r="V39" s="59"/>
      <c r="W39" s="60"/>
      <c r="X39" s="59"/>
      <c r="Y39" s="87"/>
      <c r="Z39" s="59"/>
      <c r="AA39" s="107"/>
      <c r="AB39" s="108"/>
      <c r="AC39" s="87"/>
      <c r="AD39" s="60"/>
      <c r="AE39" s="60"/>
      <c r="AF39" s="57"/>
      <c r="AG39" s="60"/>
      <c r="AH39" s="57"/>
      <c r="AI39" s="74"/>
    </row>
    <row r="40" spans="1:37" s="48" customFormat="1" ht="18" customHeight="1" thickBot="1">
      <c r="A40" s="54" t="s">
        <v>21</v>
      </c>
      <c r="E40" s="128">
        <f>E11-E38</f>
        <v>0</v>
      </c>
      <c r="F40" s="67"/>
      <c r="G40" s="76">
        <f>G11-G38</f>
        <v>0</v>
      </c>
      <c r="H40" s="58"/>
      <c r="I40" s="76">
        <f>I11-I38</f>
        <v>0</v>
      </c>
      <c r="J40" s="67"/>
      <c r="K40" s="76">
        <f>K11-K38</f>
        <v>0</v>
      </c>
      <c r="L40" s="61"/>
      <c r="M40" s="93">
        <f>M11-M38</f>
        <v>0</v>
      </c>
      <c r="N40" s="61"/>
      <c r="O40" s="93">
        <f>O11-O38</f>
        <v>0</v>
      </c>
      <c r="P40" s="75"/>
      <c r="Q40" s="93">
        <f>Q11-Q38</f>
        <v>0</v>
      </c>
      <c r="R40" s="75"/>
      <c r="S40" s="93">
        <f>S11-S38</f>
        <v>0</v>
      </c>
      <c r="T40" s="171"/>
      <c r="U40" s="93">
        <f>U11-U38</f>
        <v>0</v>
      </c>
      <c r="V40" s="75"/>
      <c r="W40" s="76">
        <f>W11-W38</f>
        <v>0</v>
      </c>
      <c r="X40" s="75"/>
      <c r="Y40" s="93">
        <f>Y11-Y38</f>
        <v>0</v>
      </c>
      <c r="Z40" s="59"/>
      <c r="AA40" s="93">
        <f>AA11-AA38</f>
        <v>0</v>
      </c>
      <c r="AB40" s="113"/>
      <c r="AC40" s="93">
        <f>AC11-AC38</f>
        <v>0</v>
      </c>
      <c r="AD40" s="61"/>
      <c r="AE40" s="76">
        <f>AE11-AE38</f>
        <v>0</v>
      </c>
      <c r="AF40" s="55"/>
      <c r="AG40" s="64"/>
      <c r="AH40" s="55"/>
      <c r="AI40" s="62"/>
      <c r="AK40" s="132">
        <f>+AE38-AE31-AE32</f>
        <v>10003232.839999998</v>
      </c>
    </row>
    <row r="41" spans="2:35" s="48" customFormat="1" ht="25.5" customHeight="1" thickTop="1">
      <c r="B41" s="142" t="s">
        <v>88</v>
      </c>
      <c r="E41" s="58"/>
      <c r="F41" s="58"/>
      <c r="G41" s="58"/>
      <c r="H41" s="58"/>
      <c r="I41" s="58"/>
      <c r="J41" s="58"/>
      <c r="K41" s="58"/>
      <c r="L41" s="58"/>
      <c r="M41" s="85"/>
      <c r="N41" s="58"/>
      <c r="O41" s="85"/>
      <c r="P41" s="59"/>
      <c r="Q41" s="87"/>
      <c r="R41" s="59"/>
      <c r="S41" s="87"/>
      <c r="T41" s="86"/>
      <c r="U41" s="87"/>
      <c r="V41" s="59"/>
      <c r="W41" s="60"/>
      <c r="X41" s="59"/>
      <c r="Y41" s="87"/>
      <c r="Z41" s="59"/>
      <c r="AA41" s="60"/>
      <c r="AB41" s="59"/>
      <c r="AC41" s="109"/>
      <c r="AD41" s="58"/>
      <c r="AE41" s="60"/>
      <c r="AF41" s="55"/>
      <c r="AG41" s="55"/>
      <c r="AH41" s="55"/>
      <c r="AI41" s="62"/>
    </row>
    <row r="42" spans="1:35" ht="24.75" customHeight="1" thickBot="1">
      <c r="A42" s="94"/>
      <c r="B42" s="94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141"/>
      <c r="N42" s="95"/>
      <c r="O42" s="141"/>
      <c r="P42" s="96"/>
      <c r="Q42" s="161"/>
      <c r="R42" s="96"/>
      <c r="S42" s="161"/>
      <c r="T42" s="161"/>
      <c r="U42" s="161"/>
      <c r="V42" s="96"/>
      <c r="W42" s="96"/>
      <c r="X42" s="96"/>
      <c r="Y42" s="161"/>
      <c r="Z42" s="96"/>
      <c r="AA42" s="96"/>
      <c r="AB42" s="96"/>
      <c r="AC42" s="141"/>
      <c r="AD42" s="95"/>
      <c r="AE42" s="96"/>
      <c r="AF42" s="96"/>
      <c r="AG42" s="96"/>
      <c r="AH42" s="96"/>
      <c r="AI42" s="96"/>
    </row>
    <row r="43" spans="25:35" ht="41.25" customHeight="1">
      <c r="Y43" s="160"/>
      <c r="AI43" s="6"/>
    </row>
    <row r="44" spans="1:35" s="83" customFormat="1" ht="18" customHeight="1">
      <c r="A44" s="79" t="s">
        <v>83</v>
      </c>
      <c r="E44" s="97"/>
      <c r="F44" s="97"/>
      <c r="G44" s="99"/>
      <c r="H44" s="97"/>
      <c r="I44" s="99"/>
      <c r="J44" s="97"/>
      <c r="K44" s="99"/>
      <c r="L44" s="97"/>
      <c r="M44" s="99"/>
      <c r="N44" s="97"/>
      <c r="O44" s="99"/>
      <c r="P44" s="98"/>
      <c r="Q44" s="99"/>
      <c r="R44" s="98"/>
      <c r="S44" s="99"/>
      <c r="T44" s="98"/>
      <c r="U44" s="99"/>
      <c r="V44" s="98"/>
      <c r="W44" s="99"/>
      <c r="X44" s="98"/>
      <c r="Y44" s="99"/>
      <c r="Z44" s="98"/>
      <c r="AA44" s="99"/>
      <c r="AB44" s="98"/>
      <c r="AC44" s="97"/>
      <c r="AD44" s="97"/>
      <c r="AE44" s="99"/>
      <c r="AF44" s="84"/>
      <c r="AG44" s="84"/>
      <c r="AH44" s="84"/>
      <c r="AI44" s="88"/>
    </row>
    <row r="45" spans="1:35" s="83" customFormat="1" ht="18" customHeight="1">
      <c r="A45" s="79"/>
      <c r="B45" s="83" t="s">
        <v>79</v>
      </c>
      <c r="E45" s="97"/>
      <c r="F45" s="97"/>
      <c r="G45" s="130">
        <v>1237529.32</v>
      </c>
      <c r="H45" s="131"/>
      <c r="I45" s="130">
        <v>670820.37</v>
      </c>
      <c r="J45" s="131"/>
      <c r="K45" s="130">
        <v>1596934.07</v>
      </c>
      <c r="L45" s="131"/>
      <c r="M45" s="130">
        <v>1101233.07</v>
      </c>
      <c r="N45" s="151"/>
      <c r="O45" s="130">
        <v>1002948.89</v>
      </c>
      <c r="P45" s="112"/>
      <c r="Q45" s="130">
        <v>908244.61</v>
      </c>
      <c r="R45" s="112"/>
      <c r="S45" s="130">
        <v>901505.21</v>
      </c>
      <c r="T45" s="172"/>
      <c r="U45" s="130">
        <v>867465.5</v>
      </c>
      <c r="V45" s="112"/>
      <c r="W45" s="130">
        <v>830154.08</v>
      </c>
      <c r="X45" s="112"/>
      <c r="Y45" s="130">
        <v>1009529.23</v>
      </c>
      <c r="Z45" s="106"/>
      <c r="AA45" s="147">
        <v>950000</v>
      </c>
      <c r="AB45" s="106"/>
      <c r="AC45" s="146">
        <v>1500000</v>
      </c>
      <c r="AD45" s="146"/>
      <c r="AE45" s="147">
        <f>SUM(G45:AC45)</f>
        <v>12576364.35</v>
      </c>
      <c r="AF45" s="84"/>
      <c r="AG45" s="84"/>
      <c r="AH45" s="84"/>
      <c r="AI45" s="88"/>
    </row>
    <row r="46" spans="1:35" s="83" customFormat="1" ht="18" customHeight="1">
      <c r="A46" s="79"/>
      <c r="B46" s="83" t="s">
        <v>80</v>
      </c>
      <c r="E46" s="97"/>
      <c r="F46" s="97"/>
      <c r="G46" s="87">
        <v>5837.71</v>
      </c>
      <c r="H46" s="97"/>
      <c r="I46" s="87">
        <v>0</v>
      </c>
      <c r="J46" s="97"/>
      <c r="K46" s="87">
        <v>5352.38</v>
      </c>
      <c r="L46" s="97"/>
      <c r="M46" s="87">
        <v>5333.52</v>
      </c>
      <c r="N46" s="146"/>
      <c r="O46" s="157">
        <v>6232.26</v>
      </c>
      <c r="P46" s="106"/>
      <c r="Q46" s="87">
        <v>5696.12</v>
      </c>
      <c r="R46" s="106"/>
      <c r="S46" s="157">
        <v>13670.38</v>
      </c>
      <c r="T46" s="167"/>
      <c r="U46" s="87">
        <v>0</v>
      </c>
      <c r="V46" s="106"/>
      <c r="W46" s="157">
        <v>6492.24</v>
      </c>
      <c r="X46" s="106"/>
      <c r="Y46" s="157">
        <v>6684.08</v>
      </c>
      <c r="Z46" s="106"/>
      <c r="AA46" s="109">
        <v>6000</v>
      </c>
      <c r="AB46" s="108"/>
      <c r="AC46" s="109">
        <f>12000+5535</f>
        <v>17535</v>
      </c>
      <c r="AD46" s="146"/>
      <c r="AE46" s="147">
        <f>SUM(G46:AC46)</f>
        <v>78833.69</v>
      </c>
      <c r="AF46" s="84"/>
      <c r="AG46" s="84"/>
      <c r="AH46" s="84"/>
      <c r="AI46" s="88"/>
    </row>
    <row r="47" spans="1:35" s="83" customFormat="1" ht="18" customHeight="1">
      <c r="A47" s="79"/>
      <c r="B47" s="83" t="s">
        <v>81</v>
      </c>
      <c r="E47" s="97"/>
      <c r="F47" s="97"/>
      <c r="G47" s="87">
        <v>0</v>
      </c>
      <c r="H47" s="97"/>
      <c r="I47" s="87">
        <v>0</v>
      </c>
      <c r="J47" s="97"/>
      <c r="K47" s="87">
        <v>2970.75</v>
      </c>
      <c r="L47" s="97"/>
      <c r="M47" s="87">
        <v>0</v>
      </c>
      <c r="N47" s="146"/>
      <c r="O47" s="87">
        <v>0</v>
      </c>
      <c r="P47" s="106"/>
      <c r="Q47" s="87">
        <v>6913.21</v>
      </c>
      <c r="R47" s="106"/>
      <c r="S47" s="87">
        <v>0</v>
      </c>
      <c r="T47" s="167"/>
      <c r="U47" s="87">
        <v>0</v>
      </c>
      <c r="V47" s="106"/>
      <c r="W47" s="87">
        <v>6017.09</v>
      </c>
      <c r="X47" s="106"/>
      <c r="Y47" s="87">
        <v>0</v>
      </c>
      <c r="Z47" s="106"/>
      <c r="AA47" s="109">
        <v>0</v>
      </c>
      <c r="AB47" s="108"/>
      <c r="AC47" s="109">
        <v>1000</v>
      </c>
      <c r="AD47" s="146"/>
      <c r="AE47" s="147">
        <f>SUM(G47:AC47)</f>
        <v>16901.05</v>
      </c>
      <c r="AF47" s="84"/>
      <c r="AG47" s="84"/>
      <c r="AH47" s="84"/>
      <c r="AI47" s="88"/>
    </row>
    <row r="48" spans="1:35" s="83" customFormat="1" ht="18" customHeight="1">
      <c r="A48" s="79"/>
      <c r="B48" s="83" t="s">
        <v>82</v>
      </c>
      <c r="E48" s="97"/>
      <c r="F48" s="97"/>
      <c r="G48" s="129">
        <v>11175</v>
      </c>
      <c r="H48" s="97"/>
      <c r="I48" s="129">
        <v>380381.86</v>
      </c>
      <c r="J48" s="97"/>
      <c r="K48" s="129">
        <v>62.72</v>
      </c>
      <c r="L48" s="97"/>
      <c r="M48" s="129">
        <v>923.96</v>
      </c>
      <c r="N48" s="146"/>
      <c r="O48" s="129">
        <v>35474.37</v>
      </c>
      <c r="P48" s="106"/>
      <c r="Q48" s="129">
        <v>63.14</v>
      </c>
      <c r="R48" s="106"/>
      <c r="S48" s="129">
        <v>79389.2</v>
      </c>
      <c r="T48" s="167"/>
      <c r="U48" s="129">
        <v>0</v>
      </c>
      <c r="V48" s="106"/>
      <c r="W48" s="129">
        <v>11657.89</v>
      </c>
      <c r="X48" s="106"/>
      <c r="Y48" s="182"/>
      <c r="Z48" s="106"/>
      <c r="AA48" s="149">
        <v>30000</v>
      </c>
      <c r="AB48" s="108"/>
      <c r="AC48" s="150">
        <v>272000</v>
      </c>
      <c r="AD48" s="146"/>
      <c r="AE48" s="152">
        <f>SUM(G48:AC48)</f>
        <v>821128.14</v>
      </c>
      <c r="AF48" s="84"/>
      <c r="AG48" s="84"/>
      <c r="AH48" s="84"/>
      <c r="AI48" s="88"/>
    </row>
    <row r="49" spans="1:35" s="83" customFormat="1" ht="18" customHeight="1">
      <c r="A49" s="79" t="s">
        <v>84</v>
      </c>
      <c r="E49" s="97"/>
      <c r="F49" s="97"/>
      <c r="G49" s="99">
        <f>SUM(G45:G48)</f>
        <v>1254542.03</v>
      </c>
      <c r="H49" s="97"/>
      <c r="I49" s="99">
        <f>SUM(I45:I48)</f>
        <v>1051202.23</v>
      </c>
      <c r="J49" s="97"/>
      <c r="K49" s="99">
        <f>SUM(K45:K48)</f>
        <v>1605319.92</v>
      </c>
      <c r="L49" s="97"/>
      <c r="M49" s="99">
        <f>SUM(M45:M48)</f>
        <v>1107490.55</v>
      </c>
      <c r="N49" s="97"/>
      <c r="O49" s="99">
        <f>SUM(O45:O48)</f>
        <v>1044655.52</v>
      </c>
      <c r="P49" s="98"/>
      <c r="Q49" s="99">
        <f>SUM(Q45:Q48)</f>
        <v>920917.08</v>
      </c>
      <c r="R49" s="98"/>
      <c r="S49" s="99">
        <f>SUM(S45:S48)</f>
        <v>994564.7899999999</v>
      </c>
      <c r="T49" s="98"/>
      <c r="U49" s="99">
        <f>SUM(U45:U48)</f>
        <v>867465.5</v>
      </c>
      <c r="V49" s="98"/>
      <c r="W49" s="99">
        <f>SUM(W45:W48)</f>
        <v>854321.2999999999</v>
      </c>
      <c r="X49" s="98"/>
      <c r="Y49" s="99">
        <f>SUM(Y45:Y48)</f>
        <v>1016213.3099999999</v>
      </c>
      <c r="Z49" s="98"/>
      <c r="AA49" s="99">
        <f>SUM(AA45:AA48)</f>
        <v>986000</v>
      </c>
      <c r="AB49" s="98"/>
      <c r="AC49" s="99">
        <f>SUM(AC45:AC48)</f>
        <v>1790535</v>
      </c>
      <c r="AD49" s="97"/>
      <c r="AE49" s="99">
        <f>SUM(E49:AC49)</f>
        <v>13493227.230000002</v>
      </c>
      <c r="AF49" s="84"/>
      <c r="AG49" s="84"/>
      <c r="AH49" s="84"/>
      <c r="AI49" s="88"/>
    </row>
    <row r="50" spans="1:35" s="83" customFormat="1" ht="18" customHeight="1">
      <c r="A50" s="7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9"/>
      <c r="Q50" s="90"/>
      <c r="R50" s="89"/>
      <c r="S50" s="90"/>
      <c r="T50" s="89"/>
      <c r="U50" s="90"/>
      <c r="V50" s="89"/>
      <c r="W50" s="90"/>
      <c r="X50" s="89"/>
      <c r="Y50" s="90"/>
      <c r="Z50" s="89"/>
      <c r="AA50" s="90"/>
      <c r="AB50" s="89"/>
      <c r="AC50" s="84"/>
      <c r="AD50" s="84"/>
      <c r="AE50" s="90"/>
      <c r="AF50" s="84"/>
      <c r="AG50" s="84"/>
      <c r="AH50" s="84"/>
      <c r="AI50" s="88"/>
    </row>
    <row r="51" spans="1:35" s="83" customFormat="1" ht="18" customHeight="1">
      <c r="A51" s="79" t="s">
        <v>70</v>
      </c>
      <c r="D51" s="83" t="s">
        <v>71</v>
      </c>
      <c r="E51" s="84">
        <v>0</v>
      </c>
      <c r="F51" s="84"/>
      <c r="G51" s="85">
        <f>-G9</f>
        <v>-116546.85999999999</v>
      </c>
      <c r="H51" s="85"/>
      <c r="I51" s="85">
        <f>-I38</f>
        <v>-8416.48</v>
      </c>
      <c r="J51" s="85"/>
      <c r="K51" s="85">
        <f>-K38</f>
        <v>-1690377.8</v>
      </c>
      <c r="L51" s="85"/>
      <c r="M51" s="85">
        <f>-M38</f>
        <v>-666367.8599999999</v>
      </c>
      <c r="N51" s="109"/>
      <c r="O51" s="85">
        <f>-O38</f>
        <v>-394212.8</v>
      </c>
      <c r="P51" s="108"/>
      <c r="Q51" s="85">
        <f>-Q38</f>
        <v>-507379.55999999994</v>
      </c>
      <c r="R51" s="108"/>
      <c r="S51" s="85">
        <f>-S38</f>
        <v>-1086568.47</v>
      </c>
      <c r="T51" s="169"/>
      <c r="U51" s="85">
        <f>-U38</f>
        <v>-1137072.08</v>
      </c>
      <c r="V51" s="108"/>
      <c r="W51" s="85">
        <f>-W38</f>
        <v>-988856</v>
      </c>
      <c r="X51" s="108"/>
      <c r="Y51" s="85">
        <f>-Y38</f>
        <v>-462094</v>
      </c>
      <c r="Z51" s="108"/>
      <c r="AA51" s="109">
        <f>-AA38</f>
        <v>-1267291</v>
      </c>
      <c r="AB51" s="108"/>
      <c r="AC51" s="109">
        <f>-AC38</f>
        <v>-1741085</v>
      </c>
      <c r="AD51" s="109"/>
      <c r="AE51" s="107">
        <f>SUM(E51:AC51)</f>
        <v>-10066267.91</v>
      </c>
      <c r="AF51" s="84"/>
      <c r="AG51" s="84"/>
      <c r="AH51" s="84"/>
      <c r="AI51" s="88"/>
    </row>
    <row r="52" spans="1:35" s="83" customFormat="1" ht="18" customHeight="1">
      <c r="A52" s="79"/>
      <c r="D52" s="83" t="s">
        <v>72</v>
      </c>
      <c r="E52" s="84">
        <v>0</v>
      </c>
      <c r="F52" s="84"/>
      <c r="G52" s="85">
        <v>-99954.17</v>
      </c>
      <c r="H52" s="85"/>
      <c r="I52" s="85">
        <v>-99954.17</v>
      </c>
      <c r="J52" s="85"/>
      <c r="K52" s="85">
        <v>-95114.87</v>
      </c>
      <c r="L52" s="85"/>
      <c r="M52" s="85">
        <v>-202408.34</v>
      </c>
      <c r="N52" s="109"/>
      <c r="O52" s="85">
        <v>0</v>
      </c>
      <c r="P52" s="108"/>
      <c r="Q52" s="85">
        <v>-99954</v>
      </c>
      <c r="R52" s="108"/>
      <c r="S52" s="85">
        <v>-99954.17</v>
      </c>
      <c r="T52" s="169"/>
      <c r="U52" s="85">
        <v>-99954.17</v>
      </c>
      <c r="V52" s="108"/>
      <c r="W52" s="85">
        <f>-101120.64+57592.06</f>
        <v>-43528.58</v>
      </c>
      <c r="X52" s="108"/>
      <c r="Y52" s="85">
        <v>-101120.84</v>
      </c>
      <c r="Z52" s="108"/>
      <c r="AA52" s="109">
        <v>-99954.17</v>
      </c>
      <c r="AB52" s="108"/>
      <c r="AC52" s="109">
        <f>-1201950+1099496</f>
        <v>-102454</v>
      </c>
      <c r="AD52" s="109"/>
      <c r="AE52" s="107">
        <f>SUM(E52:AC52)</f>
        <v>-1144351.48</v>
      </c>
      <c r="AF52" s="84"/>
      <c r="AG52" s="84"/>
      <c r="AH52" s="84"/>
      <c r="AI52" s="88"/>
    </row>
    <row r="53" spans="1:35" s="83" customFormat="1" ht="18" customHeight="1">
      <c r="A53" s="79"/>
      <c r="D53" s="83" t="s">
        <v>73</v>
      </c>
      <c r="E53" s="84">
        <v>0</v>
      </c>
      <c r="F53" s="84"/>
      <c r="G53" s="85">
        <v>0</v>
      </c>
      <c r="H53" s="85"/>
      <c r="I53" s="85">
        <v>0</v>
      </c>
      <c r="J53" s="85"/>
      <c r="K53" s="85">
        <v>0</v>
      </c>
      <c r="L53" s="85"/>
      <c r="M53" s="85">
        <v>0</v>
      </c>
      <c r="N53" s="109"/>
      <c r="O53" s="85">
        <v>0</v>
      </c>
      <c r="P53" s="108"/>
      <c r="Q53" s="85">
        <v>0</v>
      </c>
      <c r="R53" s="108"/>
      <c r="S53" s="85">
        <v>0</v>
      </c>
      <c r="T53" s="169"/>
      <c r="U53" s="85">
        <v>0</v>
      </c>
      <c r="V53" s="108"/>
      <c r="W53" s="109">
        <v>0</v>
      </c>
      <c r="X53" s="108"/>
      <c r="Y53" s="85">
        <v>0</v>
      </c>
      <c r="Z53" s="108"/>
      <c r="AA53" s="109">
        <v>-25000</v>
      </c>
      <c r="AB53" s="108"/>
      <c r="AC53" s="109">
        <v>0</v>
      </c>
      <c r="AD53" s="109"/>
      <c r="AE53" s="107">
        <f>SUM(E53:AC53)</f>
        <v>-25000</v>
      </c>
      <c r="AF53" s="84"/>
      <c r="AG53" s="84"/>
      <c r="AH53" s="84"/>
      <c r="AI53" s="88"/>
    </row>
    <row r="54" spans="1:35" s="83" customFormat="1" ht="18" customHeight="1">
      <c r="A54" s="79"/>
      <c r="E54" s="84"/>
      <c r="F54" s="84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5"/>
      <c r="R54" s="86"/>
      <c r="S54" s="85"/>
      <c r="T54" s="86"/>
      <c r="U54" s="85"/>
      <c r="V54" s="86"/>
      <c r="W54" s="85"/>
      <c r="X54" s="86"/>
      <c r="Y54" s="85"/>
      <c r="Z54" s="86"/>
      <c r="AA54" s="85"/>
      <c r="AB54" s="86"/>
      <c r="AC54" s="85"/>
      <c r="AD54" s="85"/>
      <c r="AE54" s="87"/>
      <c r="AF54" s="84"/>
      <c r="AG54" s="84"/>
      <c r="AH54" s="84"/>
      <c r="AI54" s="88"/>
    </row>
    <row r="55" spans="1:35" s="83" customFormat="1" ht="18" customHeight="1">
      <c r="A55" s="79"/>
      <c r="D55" s="83" t="s">
        <v>102</v>
      </c>
      <c r="E55" s="91"/>
      <c r="F55" s="84"/>
      <c r="G55" s="85">
        <v>-1038041</v>
      </c>
      <c r="H55" s="85"/>
      <c r="I55" s="85">
        <f>-452197.54-4839.3+11064.78</f>
        <v>-445972.05999999994</v>
      </c>
      <c r="J55" s="85"/>
      <c r="K55" s="85">
        <v>0</v>
      </c>
      <c r="L55" s="85"/>
      <c r="M55" s="85">
        <v>0</v>
      </c>
      <c r="N55" s="109"/>
      <c r="O55" s="85">
        <v>0</v>
      </c>
      <c r="P55" s="108"/>
      <c r="Q55" s="87">
        <v>0</v>
      </c>
      <c r="R55" s="108"/>
      <c r="S55" s="87">
        <v>0</v>
      </c>
      <c r="T55" s="169"/>
      <c r="U55" s="87">
        <v>0</v>
      </c>
      <c r="V55" s="108"/>
      <c r="W55" s="107">
        <v>0</v>
      </c>
      <c r="X55" s="108"/>
      <c r="Y55" s="87">
        <v>0</v>
      </c>
      <c r="Z55" s="108"/>
      <c r="AA55" s="107">
        <v>0</v>
      </c>
      <c r="AB55" s="108"/>
      <c r="AC55" s="109">
        <v>0</v>
      </c>
      <c r="AD55" s="109"/>
      <c r="AE55" s="107">
        <f>SUM(E55:AC55)</f>
        <v>-1484013.06</v>
      </c>
      <c r="AF55" s="84"/>
      <c r="AG55" s="84"/>
      <c r="AH55" s="84"/>
      <c r="AI55" s="88"/>
    </row>
    <row r="56" spans="1:35" s="83" customFormat="1" ht="18" customHeight="1">
      <c r="A56" s="79"/>
      <c r="E56" s="92"/>
      <c r="F56" s="84"/>
      <c r="G56" s="85"/>
      <c r="H56" s="85"/>
      <c r="I56" s="85">
        <v>0</v>
      </c>
      <c r="J56" s="85"/>
      <c r="K56" s="85"/>
      <c r="L56" s="85"/>
      <c r="M56" s="85"/>
      <c r="N56" s="109"/>
      <c r="O56" s="85"/>
      <c r="P56" s="108"/>
      <c r="Q56" s="87"/>
      <c r="R56" s="108"/>
      <c r="S56" s="87"/>
      <c r="T56" s="169"/>
      <c r="U56" s="173"/>
      <c r="V56" s="108"/>
      <c r="W56" s="107"/>
      <c r="X56" s="108"/>
      <c r="Y56" s="87"/>
      <c r="Z56" s="108"/>
      <c r="AA56" s="107"/>
      <c r="AB56" s="108"/>
      <c r="AC56" s="109"/>
      <c r="AD56" s="109"/>
      <c r="AE56" s="107"/>
      <c r="AF56" s="84"/>
      <c r="AG56" s="84"/>
      <c r="AH56" s="84"/>
      <c r="AI56" s="88"/>
    </row>
    <row r="57" spans="1:35" s="83" customFormat="1" ht="18" customHeight="1">
      <c r="A57" s="79"/>
      <c r="E57" s="92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7"/>
      <c r="R57" s="86"/>
      <c r="S57" s="87"/>
      <c r="T57" s="86"/>
      <c r="U57" s="87"/>
      <c r="V57" s="86"/>
      <c r="W57" s="87"/>
      <c r="X57" s="86"/>
      <c r="Y57" s="87"/>
      <c r="Z57" s="86"/>
      <c r="AA57" s="87"/>
      <c r="AB57" s="86"/>
      <c r="AC57" s="85"/>
      <c r="AD57" s="85"/>
      <c r="AE57" s="87"/>
      <c r="AF57" s="84"/>
      <c r="AG57" s="84"/>
      <c r="AH57" s="84"/>
      <c r="AI57" s="88"/>
    </row>
    <row r="58" spans="1:35" s="83" customFormat="1" ht="18" customHeight="1" thickBot="1">
      <c r="A58" s="79" t="s">
        <v>69</v>
      </c>
      <c r="E58" s="100">
        <v>0</v>
      </c>
      <c r="F58" s="84"/>
      <c r="G58" s="93">
        <f>+G49+G51+G53+G52+G55+G56</f>
        <v>-1.1641532182693481E-10</v>
      </c>
      <c r="H58" s="84"/>
      <c r="I58" s="93">
        <f>+G58+I49+I51+I53+I52+I55+I56</f>
        <v>496859.52</v>
      </c>
      <c r="J58" s="84"/>
      <c r="K58" s="93">
        <f>+I58+K49+K51+K53+K52+K55+K56</f>
        <v>316686.7699999999</v>
      </c>
      <c r="L58" s="84"/>
      <c r="M58" s="93">
        <f>+K58+M49+M51+M53+M52+M55+M56</f>
        <v>555401.12</v>
      </c>
      <c r="N58" s="84"/>
      <c r="O58" s="93">
        <f>+M58+O49+O51+O53+O52+O55+O56</f>
        <v>1205843.84</v>
      </c>
      <c r="P58" s="89"/>
      <c r="Q58" s="93">
        <f>+O58+Q49+Q51+Q53+Q52+Q55+Q56</f>
        <v>1519427.3599999999</v>
      </c>
      <c r="R58" s="89"/>
      <c r="S58" s="93">
        <f>+Q58+S49+S51+S53+S52+S55+S56</f>
        <v>1327469.51</v>
      </c>
      <c r="T58" s="89"/>
      <c r="U58" s="93">
        <f>+S58+U49+U51+U53+U52+U55+U56</f>
        <v>957908.7599999997</v>
      </c>
      <c r="V58" s="89"/>
      <c r="W58" s="93">
        <f>+U58+W49+W51+W53+W52+W55+W56</f>
        <v>779845.4799999996</v>
      </c>
      <c r="X58" s="89"/>
      <c r="Y58" s="93">
        <f>+W58+Y49+Y51+Y53+Y52+Y55+Y56</f>
        <v>1232843.9499999995</v>
      </c>
      <c r="Z58" s="89"/>
      <c r="AA58" s="93">
        <f>+Y58+AA49+AA51+AA53+AA52+AA55+AA56</f>
        <v>826598.7799999992</v>
      </c>
      <c r="AB58" s="89"/>
      <c r="AC58" s="93">
        <f>+AA58+AC49+AC51+AC53+AC52+AC55+AC56</f>
        <v>773594.7799999993</v>
      </c>
      <c r="AD58" s="84"/>
      <c r="AE58" s="93">
        <f>AE49+AE51+AE53+AE52+AE55+AE56+E58</f>
        <v>773594.7800000021</v>
      </c>
      <c r="AF58" s="84"/>
      <c r="AG58" s="84"/>
      <c r="AH58" s="84"/>
      <c r="AI58" s="88"/>
    </row>
    <row r="59" spans="1:35" ht="15.75">
      <c r="A59" s="79"/>
      <c r="E59" s="80" t="s">
        <v>103</v>
      </c>
      <c r="AI59" s="6"/>
    </row>
    <row r="60" ht="12.75">
      <c r="AI60" s="6"/>
    </row>
    <row r="61" ht="12.75">
      <c r="AI61" s="6"/>
    </row>
    <row r="62" ht="12.75">
      <c r="AI62" s="6"/>
    </row>
    <row r="63" ht="12.75">
      <c r="AI63" s="6"/>
    </row>
    <row r="64" ht="12.75">
      <c r="AI64" s="6"/>
    </row>
    <row r="65" ht="12.75">
      <c r="AI65" s="6"/>
    </row>
    <row r="66" ht="12.75">
      <c r="AI66" s="6"/>
    </row>
    <row r="67" ht="12.75">
      <c r="AI67" s="6"/>
    </row>
    <row r="68" ht="12.75">
      <c r="AI68" s="6"/>
    </row>
    <row r="69" ht="12.75">
      <c r="AI69" s="6"/>
    </row>
    <row r="70" ht="12.75">
      <c r="AI70" s="6"/>
    </row>
    <row r="71" ht="12.75">
      <c r="AI71" s="6"/>
    </row>
    <row r="72" ht="12.75">
      <c r="AI72" s="6"/>
    </row>
    <row r="73" ht="12.75">
      <c r="AI73" s="6"/>
    </row>
    <row r="74" ht="12.75">
      <c r="AI74" s="6"/>
    </row>
    <row r="75" ht="12.75">
      <c r="AI75" s="6"/>
    </row>
    <row r="76" ht="12.75">
      <c r="AI76" s="6"/>
    </row>
    <row r="77" ht="12.75">
      <c r="AI77" s="6"/>
    </row>
    <row r="78" ht="12.75">
      <c r="AI78" s="6"/>
    </row>
    <row r="79" ht="12.75">
      <c r="AI79" s="6"/>
    </row>
    <row r="80" ht="12.75">
      <c r="AI80" s="6"/>
    </row>
    <row r="81" ht="12.75">
      <c r="AI81" s="6"/>
    </row>
    <row r="82" ht="12.75">
      <c r="AI82" s="6"/>
    </row>
    <row r="83" ht="12.75">
      <c r="AI83" s="6"/>
    </row>
    <row r="84" ht="12.75">
      <c r="AI84" s="6"/>
    </row>
    <row r="85" ht="12.75">
      <c r="AI85" s="6"/>
    </row>
    <row r="86" ht="12.75">
      <c r="AI86" s="6"/>
    </row>
    <row r="87" ht="12.75">
      <c r="AI87" s="6"/>
    </row>
    <row r="88" ht="12.75">
      <c r="AI88" s="6"/>
    </row>
    <row r="89" ht="12.75">
      <c r="AI89" s="6"/>
    </row>
    <row r="90" ht="12.75">
      <c r="AI90" s="6"/>
    </row>
    <row r="91" ht="12.75">
      <c r="AI91" s="6"/>
    </row>
    <row r="92" ht="12.75">
      <c r="AI92" s="6"/>
    </row>
  </sheetData>
  <mergeCells count="1">
    <mergeCell ref="AA5:AC5"/>
  </mergeCells>
  <printOptions gridLines="1"/>
  <pageMargins left="0.5" right="0.16" top="0.42" bottom="0.22" header="0.39" footer="0.28"/>
  <pageSetup cellComments="asDisplayed" fitToHeight="1" fitToWidth="1" horizontalDpi="200" verticalDpi="200" orientation="landscape" paperSize="5" scale="51" r:id="rId3"/>
  <headerFooter alignWithMargins="0">
    <oddFooter>&amp;CPage &amp;P of &amp;N&amp;RTS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2009-05-29T20:35:04Z</cp:lastPrinted>
  <dcterms:created xsi:type="dcterms:W3CDTF">2007-07-24T20:35:19Z</dcterms:created>
  <dcterms:modified xsi:type="dcterms:W3CDTF">2009-05-29T22:14:58Z</dcterms:modified>
  <cp:category/>
  <cp:version/>
  <cp:contentType/>
  <cp:contentStatus/>
</cp:coreProperties>
</file>