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2007" sheetId="1" r:id="rId1"/>
    <sheet name="2007 WO chi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<sst xmlns="http://schemas.openxmlformats.org/spreadsheetml/2006/main" count="265" uniqueCount="50">
  <si>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</si>
  <si>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</si>
  <si>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</si>
  <si>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</si>
  <si>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</si>
  <si>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</si>
  <si>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</si>
  <si>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</si>
  <si>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</si>
  <si>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</si>
  <si>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</si>
  <si>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</si>
  <si>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</si>
  <si>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</si>
  <si>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</si>
  <si>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</si>
  <si>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</si>
  <si>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</si>
  <si>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</si>
  <si>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</si>
  <si>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</si>
  <si>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</si>
  <si>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</si>
  <si>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</si>
  <si>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</si>
  <si>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</si>
  <si>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</si>
  <si>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</si>
  <si>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</si>
  <si>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</si>
  <si>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</si>
  <si>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</si>
  <si>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</si>
  <si>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</si>
  <si>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</si>
  <si>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</si>
  <si>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</si>
  <si>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</si>
  <si>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</si>
  <si>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</si>
  <si>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</si>
  <si>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</si>
  <si>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</si>
  <si>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</si>
  <si>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</si>
  <si>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</si>
  <si>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</si>
  <si>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</si>
  <si>
    <t>Includes all oil, batteries, tires, CRT/TV's, electronic waste,  drip hose (Feb &amp; May)</t>
  </si>
  <si>
    <t>Includes all oil, batteries, tires, CRT/TV's, electronic waste, drip hose (Feb &amp; May)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</si>
</sst>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6" fillId="2" borderId="1" xfId="0" applyNumberFormat="1" applyFont="1" applyFill="1" applyBorder="1" applyAlignment="1" quotePrefix="1">
      <alignment horizontal="center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2007%20GREEN\07%20GREEN%20TOTALS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7 YR TOTALS"/>
      <sheetName val="07 TOTALS LESS TRASH"/>
      <sheetName val="Sheet1"/>
    </sheetNames>
    <sheetDataSet>
      <sheetData sheetId="0">
        <row r="4">
          <cell r="AY4">
            <v>0.17018976558369076</v>
          </cell>
        </row>
        <row r="6">
          <cell r="AY6">
            <v>0.003619058809705658</v>
          </cell>
        </row>
        <row r="8">
          <cell r="AY8">
            <v>0.059220962340638034</v>
          </cell>
        </row>
        <row r="10">
          <cell r="AY10">
            <v>0.25792844133717174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0.00987016039010634</v>
          </cell>
        </row>
        <row r="18">
          <cell r="AY18">
            <v>0.018577051877093003</v>
          </cell>
        </row>
        <row r="20">
          <cell r="AY20">
            <v>0.007179366664708303</v>
          </cell>
        </row>
        <row r="22">
          <cell r="AY22">
            <v>0.01868280359555843</v>
          </cell>
        </row>
        <row r="24">
          <cell r="AY24">
            <v>0.012983960989366078</v>
          </cell>
        </row>
        <row r="26">
          <cell r="AY26">
            <v>0.007637624111391811</v>
          </cell>
        </row>
        <row r="28">
          <cell r="AY28">
            <v>0</v>
          </cell>
        </row>
        <row r="31">
          <cell r="AY31">
            <v>0.2012220198578227</v>
          </cell>
        </row>
        <row r="32">
          <cell r="AY32">
            <v>0.07637624111391811</v>
          </cell>
        </row>
        <row r="36">
          <cell r="AY36">
            <v>0.14946242876446744</v>
          </cell>
        </row>
      </sheetData>
      <sheetData sheetId="1">
        <row r="4">
          <cell r="AW4">
            <v>0.14974795942041208</v>
          </cell>
        </row>
        <row r="6">
          <cell r="AW6">
            <v>0.003248054331090629</v>
          </cell>
        </row>
        <row r="8">
          <cell r="AW8">
            <v>0.07244145417220313</v>
          </cell>
        </row>
        <row r="10">
          <cell r="AW10">
            <v>0.28587096365975573</v>
          </cell>
        </row>
        <row r="12">
          <cell r="AW12">
            <v>0</v>
          </cell>
        </row>
        <row r="14">
          <cell r="AW14">
            <v>0.0027418640457258555</v>
          </cell>
        </row>
        <row r="16">
          <cell r="AW16">
            <v>0.01279536554672066</v>
          </cell>
        </row>
        <row r="18">
          <cell r="AW18">
            <v>0.023537848269461956</v>
          </cell>
        </row>
        <row r="20">
          <cell r="AW20">
            <v>0.007930314470714782</v>
          </cell>
        </row>
        <row r="22">
          <cell r="AW22">
            <v>0.018630614669675687</v>
          </cell>
        </row>
        <row r="24">
          <cell r="AW24">
            <v>0.01279536554672066</v>
          </cell>
        </row>
        <row r="26">
          <cell r="AW26">
            <v>0.004569773409543092</v>
          </cell>
        </row>
        <row r="28">
          <cell r="AW28">
            <v>0</v>
          </cell>
        </row>
        <row r="31">
          <cell r="AW31">
            <v>0.18982135701179</v>
          </cell>
        </row>
        <row r="32">
          <cell r="AW32">
            <v>0.07206181145817954</v>
          </cell>
        </row>
        <row r="35">
          <cell r="AW35">
            <v>0.011072912492354417</v>
          </cell>
        </row>
        <row r="37">
          <cell r="AW37">
            <v>0.1327343414956517</v>
          </cell>
        </row>
      </sheetData>
      <sheetData sheetId="2">
        <row r="4">
          <cell r="AZ4">
            <v>0.1505426582273783</v>
          </cell>
        </row>
        <row r="6">
          <cell r="AZ6">
            <v>0.0063525589823039685</v>
          </cell>
        </row>
        <row r="8">
          <cell r="AZ8">
            <v>0.06467404011617287</v>
          </cell>
        </row>
        <row r="10">
          <cell r="AZ10">
            <v>0.26433366996466406</v>
          </cell>
        </row>
        <row r="12">
          <cell r="AZ12">
            <v>0</v>
          </cell>
        </row>
        <row r="14">
          <cell r="AZ14">
            <v>4.123699436743894E-07</v>
          </cell>
        </row>
        <row r="16">
          <cell r="AZ16">
            <v>0.012127387673520116</v>
          </cell>
        </row>
        <row r="18">
          <cell r="AZ18">
            <v>0.02224859557106433</v>
          </cell>
        </row>
        <row r="20">
          <cell r="AZ20">
            <v>0.006593383029409812</v>
          </cell>
        </row>
        <row r="22">
          <cell r="AZ22">
            <v>0.018804894171439508</v>
          </cell>
        </row>
        <row r="24">
          <cell r="AZ24">
            <v>0.009117087084697075</v>
          </cell>
        </row>
        <row r="26">
          <cell r="AZ26">
            <v>0.004290709263932022</v>
          </cell>
        </row>
        <row r="28">
          <cell r="AZ28">
            <v>0</v>
          </cell>
        </row>
        <row r="31">
          <cell r="AZ31">
            <v>0.20519404686254514</v>
          </cell>
        </row>
        <row r="32">
          <cell r="AZ32">
            <v>0.08248965879273751</v>
          </cell>
        </row>
        <row r="34">
          <cell r="AZ34">
            <v>0.00959296199969732</v>
          </cell>
        </row>
        <row r="36">
          <cell r="AZ36">
            <v>0.14387711045782547</v>
          </cell>
        </row>
      </sheetData>
      <sheetData sheetId="3">
        <row r="4">
          <cell r="AX4">
            <v>0.15586744312706857</v>
          </cell>
        </row>
        <row r="6">
          <cell r="AX6">
            <v>0.0038711299174661695</v>
          </cell>
        </row>
        <row r="8">
          <cell r="AX8">
            <v>0.06569190162972893</v>
          </cell>
        </row>
        <row r="10">
          <cell r="AX10">
            <v>0.2796262935187901</v>
          </cell>
        </row>
        <row r="12">
          <cell r="AX12">
            <v>0</v>
          </cell>
        </row>
        <row r="14">
          <cell r="AX14">
            <v>0.004357115924420797</v>
          </cell>
        </row>
        <row r="16">
          <cell r="AX16">
            <v>0.014076836063513344</v>
          </cell>
        </row>
        <row r="18">
          <cell r="AX18">
            <v>0.014026561649000794</v>
          </cell>
        </row>
        <row r="20">
          <cell r="AX20">
            <v>0.005513427458209393</v>
          </cell>
        </row>
        <row r="22">
          <cell r="AX22">
            <v>0.01953998910721019</v>
          </cell>
        </row>
        <row r="24">
          <cell r="AX24">
            <v>0.014160626754367588</v>
          </cell>
        </row>
        <row r="26">
          <cell r="AX26">
            <v>0.008714231848841594</v>
          </cell>
        </row>
        <row r="28">
          <cell r="AX28">
            <v>0</v>
          </cell>
        </row>
        <row r="31">
          <cell r="AX31">
            <v>0.192718588964766</v>
          </cell>
        </row>
        <row r="32">
          <cell r="AX32">
            <v>0.07960115631153379</v>
          </cell>
        </row>
        <row r="34">
          <cell r="AX34">
            <v>0.008169592358288994</v>
          </cell>
        </row>
        <row r="36">
          <cell r="AX36">
            <v>0.13406510536679375</v>
          </cell>
        </row>
      </sheetData>
      <sheetData sheetId="4">
        <row r="4">
          <cell r="AZ4">
            <v>0.16473317865429232</v>
          </cell>
        </row>
        <row r="6">
          <cell r="AZ6">
            <v>0.003801155156242287</v>
          </cell>
        </row>
        <row r="8">
          <cell r="AZ8">
            <v>0.07740534136347929</v>
          </cell>
        </row>
        <row r="10">
          <cell r="AZ10">
            <v>0.2559115367527275</v>
          </cell>
        </row>
        <row r="12">
          <cell r="AZ12">
            <v>0</v>
          </cell>
        </row>
        <row r="14">
          <cell r="AZ14">
            <v>0.0016043836698425237</v>
          </cell>
        </row>
        <row r="16">
          <cell r="AZ16">
            <v>0.008638988991459743</v>
          </cell>
        </row>
        <row r="18">
          <cell r="AZ18">
            <v>0.019511773707854077</v>
          </cell>
        </row>
        <row r="20">
          <cell r="AZ20">
            <v>0.004640371229698376</v>
          </cell>
        </row>
        <row r="22">
          <cell r="AZ22">
            <v>0.022239225946586366</v>
          </cell>
        </row>
        <row r="24">
          <cell r="AZ24">
            <v>0.013637261193661451</v>
          </cell>
        </row>
        <row r="26">
          <cell r="AZ26">
            <v>0.006417534679370095</v>
          </cell>
        </row>
        <row r="28">
          <cell r="AZ28">
            <v>0</v>
          </cell>
        </row>
        <row r="31">
          <cell r="AZ31">
            <v>0.20826134175840452</v>
          </cell>
        </row>
        <row r="32">
          <cell r="AZ32">
            <v>0.07559115367527275</v>
          </cell>
        </row>
        <row r="34">
          <cell r="AZ34">
            <v>0.009256059633706867</v>
          </cell>
        </row>
        <row r="36">
          <cell r="AZ36">
            <v>0.1283506935874019</v>
          </cell>
        </row>
      </sheetData>
      <sheetData sheetId="5">
        <row r="4">
          <cell r="AX4">
            <v>0.18689623033615876</v>
          </cell>
        </row>
        <row r="6">
          <cell r="AX6">
            <v>0.0029094298273234505</v>
          </cell>
        </row>
        <row r="8">
          <cell r="AX8">
            <v>0.0818166933259443</v>
          </cell>
        </row>
        <row r="10">
          <cell r="AX10">
            <v>0.24937969948486718</v>
          </cell>
        </row>
        <row r="12">
          <cell r="AX12">
            <v>0</v>
          </cell>
        </row>
        <row r="14">
          <cell r="AX14">
            <v>0.003274682922528559</v>
          </cell>
        </row>
        <row r="16">
          <cell r="AX16">
            <v>0.01675126264216532</v>
          </cell>
        </row>
        <row r="18">
          <cell r="AX18">
            <v>0.01639860448127763</v>
          </cell>
        </row>
        <row r="20">
          <cell r="AX20">
            <v>0.010655314432535236</v>
          </cell>
        </row>
        <row r="22">
          <cell r="AX22">
            <v>0.02136100860234014</v>
          </cell>
        </row>
        <row r="24">
          <cell r="AX24">
            <v>0.009824048767585676</v>
          </cell>
        </row>
        <row r="26">
          <cell r="AX26">
            <v>0.004912024383792838</v>
          </cell>
        </row>
        <row r="28">
          <cell r="AX28">
            <v>0.004181518193382621</v>
          </cell>
        </row>
        <row r="31">
          <cell r="AX31">
            <v>0.20309331586835774</v>
          </cell>
        </row>
        <row r="32">
          <cell r="AX32">
            <v>0.06769777195611924</v>
          </cell>
        </row>
        <row r="34">
          <cell r="AX34">
            <v>0.016058541254707355</v>
          </cell>
        </row>
        <row r="36">
          <cell r="AX36">
            <v>0.10478985352091388</v>
          </cell>
        </row>
      </sheetData>
      <sheetData sheetId="6">
        <row r="4">
          <cell r="AY4">
            <v>0.17690685527041494</v>
          </cell>
        </row>
        <row r="6">
          <cell r="AY6">
            <v>0.004996269019887746</v>
          </cell>
        </row>
        <row r="8">
          <cell r="AY8">
            <v>0.062498783376050346</v>
          </cell>
        </row>
        <row r="10">
          <cell r="AY10">
            <v>0.2569509781656555</v>
          </cell>
        </row>
        <row r="12">
          <cell r="AY12">
            <v>0</v>
          </cell>
        </row>
        <row r="14">
          <cell r="AY14">
            <v>0.001687051876845213</v>
          </cell>
        </row>
        <row r="16">
          <cell r="AY16">
            <v>0.009084125490704992</v>
          </cell>
        </row>
        <row r="18">
          <cell r="AY18">
            <v>0.016896473412711284</v>
          </cell>
        </row>
        <row r="20">
          <cell r="AY20">
            <v>0.009758946241443077</v>
          </cell>
        </row>
        <row r="22">
          <cell r="AY22">
            <v>0.02613632676897122</v>
          </cell>
        </row>
        <row r="24">
          <cell r="AY24">
            <v>0.010122311261071278</v>
          </cell>
        </row>
        <row r="26">
          <cell r="AY26">
            <v>0.007591733445803457</v>
          </cell>
        </row>
        <row r="28">
          <cell r="AY28">
            <v>0.014002530577815265</v>
          </cell>
        </row>
        <row r="31">
          <cell r="AY31">
            <v>0.19141550141128377</v>
          </cell>
        </row>
        <row r="32">
          <cell r="AY32">
            <v>0.07299743697887941</v>
          </cell>
        </row>
        <row r="34">
          <cell r="AY34">
            <v>0.010219641177043116</v>
          </cell>
        </row>
        <row r="36">
          <cell r="AY36">
            <v>0.12873503552541932</v>
          </cell>
        </row>
      </sheetData>
      <sheetData sheetId="7">
        <row r="4">
          <cell r="AY4">
            <v>0.16798303844674986</v>
          </cell>
        </row>
        <row r="6">
          <cell r="AY6">
            <v>0.0049499321594119235</v>
          </cell>
        </row>
        <row r="8">
          <cell r="AY8">
            <v>0.07344475341342421</v>
          </cell>
        </row>
        <row r="10">
          <cell r="AY10">
            <v>0.2444125302389829</v>
          </cell>
        </row>
        <row r="12">
          <cell r="AY12">
            <v>0.0012214118315432019</v>
          </cell>
        </row>
        <row r="14">
          <cell r="AY14">
            <v>0.0025071084963255194</v>
          </cell>
        </row>
        <row r="16">
          <cell r="AY16">
            <v>0.01710246560460087</v>
          </cell>
        </row>
        <row r="18">
          <cell r="AY18">
            <v>0.019132362069859136</v>
          </cell>
        </row>
        <row r="20">
          <cell r="AY20">
            <v>0.00785711731540108</v>
          </cell>
        </row>
        <row r="22">
          <cell r="AY22">
            <v>0.023170638866690536</v>
          </cell>
        </row>
        <row r="24">
          <cell r="AY24">
            <v>0.014208201700092776</v>
          </cell>
        </row>
        <row r="26">
          <cell r="AY26">
            <v>0.005850755527591653</v>
          </cell>
        </row>
        <row r="28">
          <cell r="AY28">
            <v>0.01173947767769433</v>
          </cell>
        </row>
        <row r="31">
          <cell r="AY31">
            <v>0.1880508155535547</v>
          </cell>
        </row>
        <row r="32">
          <cell r="AY32">
            <v>0.07554191109970057</v>
          </cell>
        </row>
        <row r="34">
          <cell r="AY34">
            <v>0.010125584439534692</v>
          </cell>
        </row>
        <row r="36">
          <cell r="AY36">
            <v>0.13270189555884213</v>
          </cell>
        </row>
      </sheetData>
      <sheetData sheetId="8">
        <row r="4">
          <cell r="AW4">
            <v>0.16257436673277043</v>
          </cell>
        </row>
        <row r="6">
          <cell r="AW6">
            <v>0.005247412071773693</v>
          </cell>
        </row>
        <row r="8">
          <cell r="AW8">
            <v>0.07632599377125372</v>
          </cell>
        </row>
        <row r="10">
          <cell r="AW10">
            <v>0.237482877762558</v>
          </cell>
        </row>
        <row r="12">
          <cell r="AW12">
            <v>0</v>
          </cell>
        </row>
        <row r="14">
          <cell r="AW14">
            <v>0.0017718534268326756</v>
          </cell>
        </row>
        <row r="16">
          <cell r="AW16">
            <v>0.010494824143547386</v>
          </cell>
        </row>
        <row r="18">
          <cell r="AW18">
            <v>0.02154846359863431</v>
          </cell>
        </row>
        <row r="20">
          <cell r="AW20">
            <v>0.010249490592139785</v>
          </cell>
        </row>
        <row r="22">
          <cell r="AW22">
            <v>0.03106195353655129</v>
          </cell>
        </row>
        <row r="24">
          <cell r="AW24">
            <v>0.010631120560996053</v>
          </cell>
        </row>
        <row r="26">
          <cell r="AW26">
            <v>0.0070874137073307026</v>
          </cell>
        </row>
        <row r="28">
          <cell r="AW28">
            <v>0.006787561588943634</v>
          </cell>
        </row>
        <row r="31">
          <cell r="AW31">
            <v>0.1908149844281343</v>
          </cell>
        </row>
        <row r="32">
          <cell r="AW32">
            <v>0.06985191394244201</v>
          </cell>
        </row>
        <row r="34">
          <cell r="AW34">
            <v>0.008688896612352543</v>
          </cell>
        </row>
        <row r="36">
          <cell r="AW36">
            <v>0.1493808735237394</v>
          </cell>
        </row>
      </sheetData>
      <sheetData sheetId="9">
        <row r="4">
          <cell r="AZ4">
            <v>0.15793178927441065</v>
          </cell>
        </row>
        <row r="6">
          <cell r="AZ6">
            <v>0.004555269618718018</v>
          </cell>
        </row>
        <row r="8">
          <cell r="AZ8">
            <v>0.08878634602301298</v>
          </cell>
        </row>
        <row r="10">
          <cell r="AZ10">
            <v>0.2615316354601118</v>
          </cell>
        </row>
        <row r="12">
          <cell r="AZ12">
            <v>0</v>
          </cell>
        </row>
        <row r="14">
          <cell r="AZ14">
            <v>0.002307214482207827</v>
          </cell>
        </row>
        <row r="16">
          <cell r="AZ16">
            <v>0.006625846718135297</v>
          </cell>
        </row>
        <row r="18">
          <cell r="AZ18">
            <v>0.014304729789688527</v>
          </cell>
        </row>
        <row r="20">
          <cell r="AZ20">
            <v>0.0072292720442511905</v>
          </cell>
        </row>
        <row r="22">
          <cell r="AZ22">
            <v>0.019439760996243383</v>
          </cell>
        </row>
        <row r="24">
          <cell r="AZ24">
            <v>0.013074215399177686</v>
          </cell>
        </row>
        <row r="26">
          <cell r="AZ26">
            <v>0.005383500458484929</v>
          </cell>
        </row>
        <row r="28">
          <cell r="AZ28">
            <v>0.006874315970065372</v>
          </cell>
        </row>
        <row r="31">
          <cell r="AZ31">
            <v>0.19670482444464166</v>
          </cell>
        </row>
        <row r="32">
          <cell r="AZ32">
            <v>0.07247019847960481</v>
          </cell>
        </row>
        <row r="34">
          <cell r="AZ34">
            <v>0.009317596947377762</v>
          </cell>
        </row>
        <row r="36">
          <cell r="AZ36">
            <v>0.13346348389386814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  <row r="88">
          <cell r="AE88">
            <v>222.11</v>
          </cell>
        </row>
        <row r="89">
          <cell r="AE89">
            <v>67.93</v>
          </cell>
        </row>
      </sheetData>
      <sheetData sheetId="1">
        <row r="93">
          <cell r="AD93">
            <v>308.37</v>
          </cell>
        </row>
        <row r="100">
          <cell r="AD100">
            <v>179.51</v>
          </cell>
        </row>
        <row r="101">
          <cell r="AD101">
            <v>34.12</v>
          </cell>
        </row>
        <row r="102">
          <cell r="AD102">
            <v>29.46</v>
          </cell>
        </row>
      </sheetData>
      <sheetData sheetId="2">
        <row r="103">
          <cell r="AE103">
            <v>358.68000000000006</v>
          </cell>
        </row>
        <row r="110">
          <cell r="AE110">
            <v>216.27</v>
          </cell>
        </row>
        <row r="112">
          <cell r="AE112">
            <v>53.19</v>
          </cell>
        </row>
      </sheetData>
      <sheetData sheetId="3">
        <row r="98">
          <cell r="AD98">
            <v>310.88</v>
          </cell>
        </row>
        <row r="105">
          <cell r="AD105">
            <v>202.42</v>
          </cell>
        </row>
        <row r="107">
          <cell r="AD107">
            <v>48.099999999999994</v>
          </cell>
        </row>
      </sheetData>
      <sheetData sheetId="4">
        <row r="98">
          <cell r="AF98">
            <v>407.8499999999999</v>
          </cell>
        </row>
        <row r="105">
          <cell r="AF105">
            <v>204.77999999999997</v>
          </cell>
        </row>
        <row r="107">
          <cell r="AF107">
            <v>64.41</v>
          </cell>
        </row>
      </sheetData>
      <sheetData sheetId="5">
        <row r="99">
          <cell r="AD99">
            <v>377.84999999999997</v>
          </cell>
        </row>
      </sheetData>
      <sheetData sheetId="6">
        <row r="98">
          <cell r="AE98">
            <v>389.7700000000001</v>
          </cell>
        </row>
      </sheetData>
      <sheetData sheetId="7">
        <row r="102">
          <cell r="AF102">
            <v>384.71999999999997</v>
          </cell>
        </row>
      </sheetData>
      <sheetData sheetId="8">
        <row r="94">
          <cell r="AB94">
            <v>343.28999999999996</v>
          </cell>
        </row>
        <row r="103">
          <cell r="AB103">
            <v>51.29</v>
          </cell>
        </row>
      </sheetData>
      <sheetData sheetId="9">
        <row r="91">
          <cell r="AF91">
            <v>370.45</v>
          </cell>
        </row>
        <row r="100">
          <cell r="AF100">
            <v>33.300000000000004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JAN A"/>
      <sheetName val="FEB-07"/>
      <sheetName val="FEB A"/>
      <sheetName val="MAR-07"/>
      <sheetName val="MAR A"/>
      <sheetName val="1ST QUARTER "/>
      <sheetName val="APRIL-07"/>
      <sheetName val="APRIL A"/>
      <sheetName val="MAY-07"/>
      <sheetName val="MAY A"/>
      <sheetName val="JUNE-07"/>
      <sheetName val="JUNE A"/>
      <sheetName val="2ND QUARTER"/>
      <sheetName val="JULY-07"/>
      <sheetName val="JULY A"/>
      <sheetName val="AUG-07"/>
      <sheetName val="AUG A"/>
      <sheetName val="SEPT-07"/>
      <sheetName val="SEPT A"/>
      <sheetName val="3RD QUARTER"/>
      <sheetName val="OCT-07"/>
      <sheetName val="OCT A"/>
      <sheetName val="NOV-07"/>
      <sheetName val="NOV A"/>
      <sheetName val="DEC-07"/>
      <sheetName val="DEC A"/>
      <sheetName val="4TH QUARTER"/>
      <sheetName val=" MONTHS TOTALS"/>
      <sheetName val="6 MONTHS TOTALS"/>
    </sheetNames>
    <sheetDataSet>
      <sheetData sheetId="2">
        <row r="10">
          <cell r="AC10">
            <v>81.92</v>
          </cell>
        </row>
      </sheetData>
      <sheetData sheetId="4">
        <row r="10">
          <cell r="AE10">
            <v>99.49</v>
          </cell>
        </row>
      </sheetData>
      <sheetData sheetId="9">
        <row r="10">
          <cell r="AF10">
            <v>117.14999999999999</v>
          </cell>
        </row>
      </sheetData>
      <sheetData sheetId="11">
        <row r="10">
          <cell r="AD10">
            <v>95.42</v>
          </cell>
        </row>
      </sheetData>
      <sheetData sheetId="20">
        <row r="19">
          <cell r="C19">
            <v>89.78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TOTALS"/>
      <sheetName val="E-WASTE NO $$"/>
      <sheetName val="CRT UVR"/>
      <sheetName val="CRA GLASS"/>
      <sheetName val="CUSTOM ALLOY INDUSTRIAL"/>
      <sheetName val="K-C Int'l Plastic"/>
      <sheetName val="K-C Int'l Paper"/>
      <sheetName val="DRIP HOSE"/>
      <sheetName val="E-RECYCLING"/>
      <sheetName val="MISC"/>
      <sheetName val="NORTHERN PAPER"/>
      <sheetName val="NORTHERN PAPER SLR"/>
      <sheetName val="RECYCLE ZONE SLR"/>
      <sheetName val="RECYCLE ZONE"/>
      <sheetName val="STD IRON"/>
      <sheetName val="S&amp;P RECYCLE"/>
      <sheetName val="SMURFIT"/>
      <sheetName val="SMURFIT PLASTIC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1">
        <row r="58">
          <cell r="C58">
            <v>268.26</v>
          </cell>
        </row>
      </sheetData>
      <sheetData sheetId="14">
        <row r="7">
          <cell r="E7">
            <v>21</v>
          </cell>
        </row>
      </sheetData>
      <sheetData sheetId="20">
        <row r="7">
          <cell r="C7">
            <v>20.68</v>
          </cell>
        </row>
      </sheetData>
      <sheetData sheetId="21">
        <row r="13">
          <cell r="C13">
            <v>18.11</v>
          </cell>
        </row>
      </sheetData>
      <sheetData sheetId="25">
        <row r="15">
          <cell r="C15">
            <v>266.53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13">
          <cell r="E13">
            <v>16.37</v>
          </cell>
        </row>
        <row r="15">
          <cell r="E15">
            <v>1.85</v>
          </cell>
        </row>
        <row r="16">
          <cell r="E16">
            <v>21.06</v>
          </cell>
        </row>
        <row r="17">
          <cell r="E17">
            <v>5.68</v>
          </cell>
        </row>
      </sheetData>
      <sheetData sheetId="1">
        <row r="16">
          <cell r="E16">
            <v>14.25</v>
          </cell>
        </row>
        <row r="17">
          <cell r="H17">
            <v>4.779999999999999</v>
          </cell>
        </row>
      </sheetData>
      <sheetData sheetId="2">
        <row r="13">
          <cell r="E13">
            <v>43.86</v>
          </cell>
        </row>
        <row r="17">
          <cell r="E17">
            <v>19.98</v>
          </cell>
        </row>
        <row r="18">
          <cell r="E18">
            <v>11.71</v>
          </cell>
        </row>
      </sheetData>
      <sheetData sheetId="4">
        <row r="13">
          <cell r="E13">
            <v>21.39</v>
          </cell>
        </row>
        <row r="17">
          <cell r="E17">
            <v>26.46</v>
          </cell>
        </row>
      </sheetData>
      <sheetData sheetId="5">
        <row r="13">
          <cell r="E13">
            <v>22.57</v>
          </cell>
        </row>
        <row r="17">
          <cell r="E17">
            <v>27.88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26">
          <cell r="D26">
            <v>78.789995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</sheetNames>
    <sheetDataSet>
      <sheetData sheetId="6">
        <row r="15">
          <cell r="D15">
            <v>23.35</v>
          </cell>
        </row>
        <row r="21">
          <cell r="D21">
            <v>3.5</v>
          </cell>
        </row>
        <row r="22">
          <cell r="D22">
            <v>0.41000000000000003</v>
          </cell>
        </row>
        <row r="23">
          <cell r="D23">
            <v>5.57</v>
          </cell>
        </row>
        <row r="24">
          <cell r="D24">
            <v>7.29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BERRYESSA"/>
      <sheetName val="WILLETS TOTALS"/>
    </sheetNames>
    <sheetDataSet>
      <sheetData sheetId="5">
        <row r="11">
          <cell r="X11">
            <v>1.5371601147691307</v>
          </cell>
        </row>
        <row r="13">
          <cell r="X13">
            <v>4.133476380631231</v>
          </cell>
        </row>
        <row r="15">
          <cell r="X15">
            <v>2.779970420327152</v>
          </cell>
        </row>
        <row r="17">
          <cell r="X17">
            <v>1.1446937024876507</v>
          </cell>
        </row>
        <row r="22">
          <cell r="X22">
            <v>41.82534682166416</v>
          </cell>
        </row>
        <row r="23">
          <cell r="X23">
            <v>15.409338302718373</v>
          </cell>
        </row>
        <row r="27">
          <cell r="D27">
            <v>33.19710005287587</v>
          </cell>
          <cell r="F27">
            <v>31.92965865695318</v>
          </cell>
          <cell r="H27">
            <v>36.98217247207946</v>
          </cell>
          <cell r="J27">
            <v>29.798650969877244</v>
          </cell>
          <cell r="L27">
            <v>33.9384903983808</v>
          </cell>
          <cell r="N27">
            <v>27.974699295943168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view="pageBreakPreview" zoomScaleSheetLayoutView="100" workbookViewId="0" topLeftCell="R39">
      <selection activeCell="Y56" sqref="Y56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9" customWidth="1"/>
    <col min="13" max="13" width="9.28125" style="0" customWidth="1"/>
    <col min="14" max="14" width="10.140625" style="69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'2007 WO chip'!N5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SUM(T5/T37)</f>
        <v>0.19368546706900672</v>
      </c>
      <c r="V5" s="16">
        <f>'[2]SEPT-07'!$AB$94*'[1]SEPT 07'!$AW4</f>
        <v>55.81015435569275</v>
      </c>
      <c r="W5" s="17">
        <f>SUM(V5/V37)</f>
        <v>0.1911247486360249</v>
      </c>
      <c r="X5" s="16">
        <f>'[2]OCT-07'!$AF$91*'[1]OCT 07'!$AZ4</f>
        <v>58.50583133670543</v>
      </c>
      <c r="Y5" s="17">
        <f>SUM(X5/X37)</f>
        <v>0.1822563577402287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592.8116696377316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'2007 WO chip'!N7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16">
        <f>'[2]SEPT-07'!$AB$94*'[1]SEPT 07'!$AW6</f>
        <v>1.8013840901191909</v>
      </c>
      <c r="W7" s="17">
        <f>(V7/V37)</f>
        <v>0.006168932614425687</v>
      </c>
      <c r="X7" s="16">
        <f>'[2]OCT-07'!$AF$91*'[1]OCT 07'!$AZ6</f>
        <v>1.6874996302540897</v>
      </c>
      <c r="Y7" s="17">
        <f>SUM(X7/X37)</f>
        <v>0.005256869772998805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15.717422814135611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'2007 WO chip'!N9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16">
        <f>'[2]SEPT-07'!$AB$94*'[1]SEPT 07'!$AW8</f>
        <v>26.201950401733686</v>
      </c>
      <c r="W9" s="17">
        <f>SUM(V9/V37)</f>
        <v>0.0897299289371009</v>
      </c>
      <c r="X9" s="16">
        <f>'[2]OCT-07'!$AF$91*'[1]OCT 07'!$AZ8</f>
        <v>32.89090188422516</v>
      </c>
      <c r="Y9" s="17">
        <f>SUM(X9/X37)</f>
        <v>0.10246117084826759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260.5007360540489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'2007 WO chip'!N11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16">
        <f>'[2]SEPT-07'!$AB$94*'[1]SEPT 07'!$AW10</f>
        <v>81.52549710710852</v>
      </c>
      <c r="W11" s="17">
        <f>SUM(V11/V37)</f>
        <v>0.27918826460715107</v>
      </c>
      <c r="X11" s="16">
        <f>'[2]OCT-07'!$AF$91*'[1]OCT 07'!$AZ10</f>
        <v>96.88439435619843</v>
      </c>
      <c r="Y11" s="17">
        <f>SUM(X11/X37)</f>
        <v>0.30181259600614435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929.7185255195179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'2007 WO chip'!N13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16">
        <f>'[2]SEPT-07'!$AB$94*'[1]SEPT 07'!$AW12</f>
        <v>0</v>
      </c>
      <c r="W13" s="17">
        <f>SUM(V13/V37)</f>
        <v>0</v>
      </c>
      <c r="X13" s="16">
        <f>'[2]OCT-07'!$AF$91*'[1]OCT 07'!$AZ12</f>
        <v>0</v>
      </c>
      <c r="Y13" s="17">
        <f>SUM(X13/X37)</f>
        <v>0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0.4699015598313006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16"/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'2007 WO chip'!N15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16">
        <f>'[2]SEPT-07'!$AB$94*'[1]SEPT 07'!$AW14</f>
        <v>0.6082595628973891</v>
      </c>
      <c r="W15" s="17">
        <f>SUM(V15/V37)</f>
        <v>0.0020830162074684136</v>
      </c>
      <c r="X15" s="16">
        <f>'[2]OCT-07'!$AF$91*'[1]OCT 07'!$AZ14</f>
        <v>0.8547076049338895</v>
      </c>
      <c r="Y15" s="17">
        <f>SUM(X15/X37)</f>
        <v>0.002662570404505888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7.176947703814097</v>
      </c>
      <c r="AE15" s="1"/>
      <c r="AF15" s="62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16"/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'2007 WO chip'!N17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16">
        <f>'[2]SEPT-07'!$AB$94*'[1]SEPT 07'!$AW16</f>
        <v>3.6027681802383817</v>
      </c>
      <c r="W17" s="17">
        <f>SUM(V17/V37)</f>
        <v>0.012337865228851374</v>
      </c>
      <c r="X17" s="16">
        <f>'[2]OCT-07'!$AF$91*'[1]OCT 07'!$AZ16</f>
        <v>2.4545449167332207</v>
      </c>
      <c r="Y17" s="17">
        <f>SUM(X17/X37)</f>
        <v>0.007646356033452805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42.09391909944856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16"/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'2007 WO chip'!N19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16">
        <f>'[2]SEPT-07'!$AB$94*'[1]SEPT 07'!$AW18</f>
        <v>7.397372068775171</v>
      </c>
      <c r="W19" s="17">
        <f>SUM(V19/V37)</f>
        <v>0.025332681723135093</v>
      </c>
      <c r="X19" s="16">
        <f>'[2]OCT-07'!$AF$91*'[1]OCT 07'!$AZ18</f>
        <v>5.2991871505901145</v>
      </c>
      <c r="Y19" s="17">
        <f>SUM(X19/X37)</f>
        <v>0.016507936507936503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66.77950618868441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16"/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'2007 WO chip'!N21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16">
        <f>'[2]SEPT-07'!$AB$94*'[1]SEPT 07'!$AW20</f>
        <v>3.5185476253756667</v>
      </c>
      <c r="W21" s="17">
        <f>SUM(V21/V37)</f>
        <v>0.012049447600124979</v>
      </c>
      <c r="X21" s="16">
        <f>'[2]OCT-07'!$AF$91*'[1]OCT 07'!$AZ20</f>
        <v>2.6780838287928534</v>
      </c>
      <c r="Y21" s="17">
        <f>SUM(X21/X37)</f>
        <v>0.008342720600785114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27.933226068501046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16"/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'2007 WO chip'!N23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16">
        <f>'[2]SEPT-07'!$AB$94*'[1]SEPT 07'!$AW22</f>
        <v>10.66325802956269</v>
      </c>
      <c r="W23" s="17">
        <f>SUM(V23/V37)</f>
        <v>0.03651687643708088</v>
      </c>
      <c r="X23" s="16">
        <f>'[2]OCT-07'!$AF$91*'[1]OCT 07'!$AZ22</f>
        <v>7.201459461058361</v>
      </c>
      <c r="Y23" s="17">
        <f>SUM(X23/X37)</f>
        <v>0.022433862433862427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79.09204603512072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16"/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'2007 WO chip'!N25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16">
        <f>'[2]SEPT-07'!$AB$94*'[1]SEPT 07'!$AW24</f>
        <v>3.6495573773843346</v>
      </c>
      <c r="W25" s="17">
        <f>SUM(V25/V37)</f>
        <v>0.012498097244810482</v>
      </c>
      <c r="X25" s="16">
        <f>'[2]OCT-07'!$AF$91*'[1]OCT 07'!$AZ24</f>
        <v>4.843343094625373</v>
      </c>
      <c r="Y25" s="17">
        <f>SUM(X25/X37)</f>
        <v>0.015087898958866697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43.25805488470939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16"/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'2007 WO chip'!N27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16">
        <f>'[2]SEPT-07'!$AB$94*'[1]SEPT 07'!$AW26</f>
        <v>2.4330382515895566</v>
      </c>
      <c r="W27" s="17">
        <f>SUM(V27/V37)</f>
        <v>0.008332064829873654</v>
      </c>
      <c r="X27" s="16">
        <f>'[2]OCT-07'!$AF$91*'[1]OCT 07'!$AZ26</f>
        <v>1.9943177448457419</v>
      </c>
      <c r="Y27" s="17">
        <f>SUM(X27/X37)</f>
        <v>0.006212664277180404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22.39238195999066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16"/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'2007 WO chip'!N29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16">
        <f>'[2]SEPT-07'!$AB$94*'[1]SEPT 07'!$AW28</f>
        <v>2.33010201786846</v>
      </c>
      <c r="W29" s="17">
        <f>SUM(V29/V37)</f>
        <v>0.007979554394763616</v>
      </c>
      <c r="X29" s="16">
        <f>'[2]OCT-07'!$AF$91*'[1]OCT 07'!$AZ28</f>
        <v>2.546590351110717</v>
      </c>
      <c r="Y29" s="17">
        <f>SUM(X29/X37)</f>
        <v>0.007933094384707287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16.43085721382642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16"/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16"/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'2007 WO chip'!N32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16">
        <f>'[2]SEPT-07'!$AB$94*'[1]SEPT 07'!$AW31</f>
        <v>65.50487600433422</v>
      </c>
      <c r="W32" s="17">
        <f>SUM(V32/V37)</f>
        <v>0.22432482234275228</v>
      </c>
      <c r="X32" s="16">
        <f>'[2]OCT-07'!$AF$91*'[1]OCT 07'!$AZ31</f>
        <v>72.8693022155175</v>
      </c>
      <c r="Y32" s="17">
        <f>SUM(X32/X37)</f>
        <v>0.22700119474313016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708.1977835930105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'2007 WO chip'!N33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16">
        <f>'[2]SEPT-07'!$AB$94*'[1]SEPT 07'!$AW32</f>
        <v>23.979463537300916</v>
      </c>
      <c r="W33" s="17">
        <f>SUM(V33/V37)</f>
        <v>0.08211890817904323</v>
      </c>
      <c r="X33" s="16">
        <f>'[2]OCT-07'!$AF$91*'[1]OCT 07'!$AZ32</f>
        <v>26.846585026769603</v>
      </c>
      <c r="Y33" s="17">
        <f>SUM(X33/X37)</f>
        <v>0.08363201911589005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267.5501018345169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16"/>
      <c r="W34" s="17"/>
      <c r="X34" s="16"/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'2007 WO chip'!N35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16">
        <f>'[2]SEPT-07'!$AB$94*'[1]SEPT 07'!$AW$34</f>
        <v>2.9828113180545044</v>
      </c>
      <c r="W35" s="17">
        <f>SUM(V35/V37)</f>
        <v>0.010214791017393183</v>
      </c>
      <c r="X35" s="16">
        <f>'[2]OCT-07'!$AF$91*'[1]OCT 07'!$AZ34</f>
        <v>3.4517037891560918</v>
      </c>
      <c r="Y35" s="17">
        <f>SUM(X35/X37)</f>
        <v>0.010752688172043006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33.55126373672665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16"/>
      <c r="W36" s="17"/>
      <c r="X36" s="16"/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'2007 WO chip'!N37</f>
        <v>338.25515384712264</v>
      </c>
      <c r="O37" s="23">
        <f>SUM(O5:O36)</f>
        <v>0.9999999999999998</v>
      </c>
      <c r="P37" s="19"/>
      <c r="Q37" s="20" t="s">
        <v>30</v>
      </c>
      <c r="R37" s="22">
        <f aca="true" t="shared" si="2" ref="R37:W37">SUM(R5:R36)</f>
        <v>339.5929452032574</v>
      </c>
      <c r="S37" s="23">
        <f t="shared" si="2"/>
        <v>0.9999999999999999</v>
      </c>
      <c r="T37" s="22">
        <f t="shared" si="2"/>
        <v>333.66692674060226</v>
      </c>
      <c r="U37" s="23">
        <f t="shared" si="2"/>
        <v>1</v>
      </c>
      <c r="V37" s="22">
        <f t="shared" si="2"/>
        <v>292.0090399280355</v>
      </c>
      <c r="W37" s="23">
        <f t="shared" si="2"/>
        <v>0.9999999999999998</v>
      </c>
      <c r="X37" s="22">
        <f>SUM(X5:X36)</f>
        <v>321.00845239151664</v>
      </c>
      <c r="Y37" s="23">
        <f>SUM(Y5:Y36)</f>
        <v>0.9999999999999998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3113.674343903615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64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'2007 WO chip'!D39</f>
        <v>18.161179719170434</v>
      </c>
      <c r="E39" s="17">
        <f>D39/$D37</f>
        <v>0.06265950994288802</v>
      </c>
      <c r="F39" s="16">
        <f>'2007 WO chip'!F39</f>
        <v>9.001630230060933</v>
      </c>
      <c r="G39" s="17">
        <f>SUM(F39/F37)</f>
        <v>0.033658665914890605</v>
      </c>
      <c r="H39" s="16">
        <f>'2007 WO chip'!H39</f>
        <v>14.623669506933389</v>
      </c>
      <c r="I39" s="17">
        <f>SUM(H39/H37)</f>
        <v>0.04760929847009703</v>
      </c>
      <c r="J39" s="16">
        <f>'2007 WO chip'!J39</f>
        <v>11.879508986551599</v>
      </c>
      <c r="K39" s="17">
        <f>SUM(J39/J37)</f>
        <v>0.04412863219890646</v>
      </c>
      <c r="L39" s="16">
        <f>'2007 WO chip'!L39</f>
        <v>18.409339981241047</v>
      </c>
      <c r="M39" s="17">
        <f>SUM(L39/L37)</f>
        <v>0.05178404396490577</v>
      </c>
      <c r="N39" s="16">
        <f>'2007 WO chip'!N39</f>
        <v>11.620146856934142</v>
      </c>
      <c r="O39" s="17">
        <f>SUM(N39/N37)</f>
        <v>0.034353199721491805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72">
        <f>'[2]AUG-07'!$AF$102*'[1]AUG 07'!$AY$36-38.74</f>
        <v>12.31307325939774</v>
      </c>
      <c r="U39" s="17">
        <f>SUM(T39/T37)</f>
        <v>0.036902288697525334</v>
      </c>
      <c r="V39" s="16">
        <f>'[2]SEPT-07'!$AB$94*'[1]SEPT 07'!$AW$36-36.25</f>
        <v>15.030960071964493</v>
      </c>
      <c r="W39" s="17">
        <f>SUM(V39/V37)</f>
        <v>0.0514742970822712</v>
      </c>
      <c r="X39" s="16">
        <f>'[2]OCT-07'!$AF$91*'[1]OCT 07'!$AZ$36-28.38</f>
        <v>21.061547608483455</v>
      </c>
      <c r="Y39" s="17">
        <f>SUM(X39/X37)</f>
        <v>0.06561057022509745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146.86811101747995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D44/$D52</f>
        <v>0.38131386168139647</v>
      </c>
      <c r="F44" s="16">
        <f>483.04-F5-F7-F9-F11-'[2]FEB-07'!$AD$102-'[5]Jan'!$E$13</f>
        <v>279.537818952608</v>
      </c>
      <c r="G44" s="17">
        <f>SUM(F44/F52)</f>
        <v>0.4023345331745053</v>
      </c>
      <c r="H44" s="16">
        <f>408.82-'[2]MAR-07'!$AE$112-H5-119.19-'[5]Mar'!$E$13</f>
        <v>138.58335934700392</v>
      </c>
      <c r="I44" s="17">
        <f>SUM(H44/H52)</f>
        <v>0.20183797404580572</v>
      </c>
      <c r="J44" s="16">
        <f>636.65-J5-J7-J9-J11-'[5]April'!$E$13-'[2]APR-07'!$AD$107</f>
        <v>410.1479519041434</v>
      </c>
      <c r="K44" s="17">
        <f>SUM(J44/J52)</f>
        <v>0.49284237314681445</v>
      </c>
      <c r="L44" s="16">
        <f>491.02-104.94-'[5]May'!$E$13-'[2]MAY-07'!$AF$107</f>
        <v>299.1</v>
      </c>
      <c r="M44" s="17">
        <f>SUM(L44/L52)</f>
        <v>0.3638549974645201</v>
      </c>
      <c r="N44" s="16">
        <f>696.89-209.98-54.7</f>
        <v>432.21</v>
      </c>
      <c r="O44" s="17">
        <f>SUM(N44/N52)</f>
        <v>0.45927508293365576</v>
      </c>
      <c r="P44" s="12">
        <v>1</v>
      </c>
      <c r="Q44" s="5" t="s">
        <v>13</v>
      </c>
      <c r="R44" s="16">
        <f>276.35+44.65+383.4-99.68-9.76</f>
        <v>594.96</v>
      </c>
      <c r="S44" s="17">
        <f>SUM(R44/R52)</f>
        <v>0.4985002094679514</v>
      </c>
      <c r="T44" s="16">
        <f>182.21+44.41+390.96+21.98-270.15</f>
        <v>369.40999999999997</v>
      </c>
      <c r="U44" s="17">
        <f>SUM(T44/T52)</f>
        <v>0.40064422367793145</v>
      </c>
      <c r="V44" s="16">
        <f>254.82+341.75-'[2]SEPT-07'!$AB$103</f>
        <v>545.28</v>
      </c>
      <c r="W44" s="17">
        <f>+V44/V$52</f>
        <v>0.5705436738793789</v>
      </c>
      <c r="X44" s="16">
        <f>637.34-'[2]OCT-07'!$AF$100</f>
        <v>604.0400000000001</v>
      </c>
      <c r="Y44" s="17">
        <f>+X44/X$52</f>
        <v>0.34328841427485074</v>
      </c>
      <c r="Z44" s="16">
        <v>0</v>
      </c>
      <c r="AA44" s="17" t="e">
        <f>+Z44/Z$54</f>
        <v>#DIV/0!</v>
      </c>
      <c r="AB44" s="16">
        <v>0</v>
      </c>
      <c r="AC44" s="66" t="e">
        <f>+AB44/AB$54</f>
        <v>#DIV/0!</v>
      </c>
      <c r="AD44" s="16">
        <f aca="true" t="shared" si="3" ref="AD44:AD50">SUM(D44+F44+H44+J44+L44+N44+R44+T44+V44+X44+Z44+AB44)</f>
        <v>4113.786063873928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'!$C$15-F32-F33-'[5]Feb'!$E$16</f>
        <v>171.52308733891547</v>
      </c>
      <c r="G45" s="17">
        <f>SUM(F45/F52)</f>
        <v>0.2332133754269092</v>
      </c>
      <c r="H45" s="16">
        <f>410.43-'[5]Mar'!$E$17-H32-H33</f>
        <v>287.2636084555632</v>
      </c>
      <c r="I45" s="17">
        <f>SUM(H45/H52)</f>
        <v>0.41838143497862873</v>
      </c>
      <c r="J45" s="16">
        <f>288.29-'[5]April'!$E$17-J32-J33</f>
        <v>177.17123758850397</v>
      </c>
      <c r="K45" s="17">
        <f>SUM(J45/J52)</f>
        <v>0.21289267148866212</v>
      </c>
      <c r="L45" s="16">
        <f>407.17-'[5]May'!$E$17-L32-L33</f>
        <v>263.52075973737476</v>
      </c>
      <c r="M45" s="17">
        <f>SUM(L45/L52)</f>
        <v>0.3205728698297924</v>
      </c>
      <c r="N45" s="16">
        <f>334.74-133.48</f>
        <v>201.26000000000002</v>
      </c>
      <c r="O45" s="17">
        <f>SUM(N45/N52)</f>
        <v>0.21386294438173012</v>
      </c>
      <c r="P45" s="12">
        <v>2</v>
      </c>
      <c r="Q45" s="5" t="s">
        <v>11</v>
      </c>
      <c r="R45" s="16">
        <f>430.64-175.47</f>
        <v>255.17</v>
      </c>
      <c r="S45" s="17">
        <f>SUM(R45/R52)</f>
        <v>0.2137997486384583</v>
      </c>
      <c r="T45" s="16">
        <f>455.42-291.95</f>
        <v>163.47000000000003</v>
      </c>
      <c r="U45" s="17">
        <f>SUM(T45/T52)</f>
        <v>0.1772916576287363</v>
      </c>
      <c r="V45" s="16">
        <v>239.4</v>
      </c>
      <c r="W45" s="17">
        <f>+V45/V$52</f>
        <v>0.2504917758339263</v>
      </c>
      <c r="X45" s="16">
        <f>642.55-'[8]WILLETS TOTALS'!$X$22-'[8]WILLETS TOTALS'!$X$23</f>
        <v>585.3153148756173</v>
      </c>
      <c r="Y45" s="17">
        <f>+X45/X$52</f>
        <v>0.33264678877960996</v>
      </c>
      <c r="Z45" s="16">
        <v>0</v>
      </c>
      <c r="AA45" s="17" t="e">
        <f>+Z45/Z$54</f>
        <v>#DIV/0!</v>
      </c>
      <c r="AB45" s="16">
        <v>0</v>
      </c>
      <c r="AC45" s="66" t="e">
        <f>+AB45/AB$54</f>
        <v>#DIV/0!</v>
      </c>
      <c r="AD45" s="16">
        <f t="shared" si="3"/>
        <v>2344.094007995975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D46/$D52</f>
        <v>0.4878065932217177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SUM(F46/F52)</f>
        <v>0.12078711510490124</v>
      </c>
      <c r="H46" s="46">
        <f>324.05-21.88-'[5]Mar'!$E$18-4.9-'[2]MAR-07'!$AE$110</f>
        <v>69.29000000000005</v>
      </c>
      <c r="I46" s="53">
        <f>SUM(H46/H52)</f>
        <v>0.10091654068375881</v>
      </c>
      <c r="J46" s="46">
        <f>170.59+84.58-'[2]APR-07'!$AD$105</f>
        <v>52.75000000000003</v>
      </c>
      <c r="K46" s="53">
        <f>SUM(J46/J52)</f>
        <v>0.06338550531046025</v>
      </c>
      <c r="L46" s="46">
        <f>274.34-28.65-'[2]MAY-07'!$AF$105</f>
        <v>40.91</v>
      </c>
      <c r="M46" s="53">
        <f>SUM(L46/L52)</f>
        <v>0.049766994136655016</v>
      </c>
      <c r="N46" s="46">
        <v>133.39</v>
      </c>
      <c r="O46" s="53">
        <f>SUM(N46/N52)</f>
        <v>0.14174291041975043</v>
      </c>
      <c r="P46" s="12">
        <v>3</v>
      </c>
      <c r="Q46" s="45" t="s">
        <v>35</v>
      </c>
      <c r="R46" s="46">
        <f>43.33+9.76+38.18+56.53</f>
        <v>147.8</v>
      </c>
      <c r="S46" s="53">
        <f>SUM(R46/R52)</f>
        <v>0.12383745286971094</v>
      </c>
      <c r="T46" s="46">
        <f>45.58+20.41+134.3</f>
        <v>200.29000000000002</v>
      </c>
      <c r="U46" s="53">
        <f>SUM(T46/T52)</f>
        <v>0.21722484924732116</v>
      </c>
      <c r="V46" s="46">
        <v>27.16</v>
      </c>
      <c r="W46" s="53">
        <f>+V46/V$52</f>
        <v>0.028418365211568243</v>
      </c>
      <c r="X46" s="46">
        <f>110.1-'[8]WILLETS TOTALS'!$X$11-'[8]WILLETS TOTALS'!$X$13-'[8]WILLETS TOTALS'!$X$15-'[8]WILLETS TOTALS'!$X$17+109.25</f>
        <v>209.7546993817848</v>
      </c>
      <c r="Y46" s="53">
        <f>+X46/X$52</f>
        <v>0.11920793016600045</v>
      </c>
      <c r="Z46" s="46">
        <v>0</v>
      </c>
      <c r="AA46" s="53" t="e">
        <f>+Z46/Z$54</f>
        <v>#DIV/0!</v>
      </c>
      <c r="AB46" s="46">
        <v>0</v>
      </c>
      <c r="AC46" s="67" t="e">
        <f>+AB46/AB$54</f>
        <v>#DIV/0!</v>
      </c>
      <c r="AD46" s="16">
        <f t="shared" si="3"/>
        <v>1533.7246569088038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D47/$D52</f>
        <v>0.03891762134626976</v>
      </c>
      <c r="F47" s="16">
        <f>'2007'!F47</f>
        <v>37.77</v>
      </c>
      <c r="G47" s="17">
        <f>SUM(F47/F52)</f>
        <v>0.05135442304900653</v>
      </c>
      <c r="H47" s="16">
        <v>68.74</v>
      </c>
      <c r="I47" s="17">
        <f>SUM(H47/H52)</f>
        <v>0.10011550016743506</v>
      </c>
      <c r="J47" s="16">
        <v>48.57</v>
      </c>
      <c r="K47" s="17">
        <f>SUM(J47/J52)</f>
        <v>0.05836272972377351</v>
      </c>
      <c r="L47" s="16">
        <v>76.84</v>
      </c>
      <c r="M47" s="17">
        <f>SUM(L47/L52)</f>
        <v>0.09347582081301814</v>
      </c>
      <c r="N47" s="16">
        <f>'[6]BP JUNE'!$D$26-3.68</f>
        <v>75.109995</v>
      </c>
      <c r="O47" s="17">
        <f>SUM(N47/N52)</f>
        <v>0.07981339900227082</v>
      </c>
      <c r="P47" s="61">
        <v>4</v>
      </c>
      <c r="Q47" s="5" t="s">
        <v>42</v>
      </c>
      <c r="R47" s="16">
        <f>'[7]BP JULY'!$D$15+55.4</f>
        <v>78.75</v>
      </c>
      <c r="S47" s="17">
        <f>SUM(R47/R52)</f>
        <v>0.06598240469208211</v>
      </c>
      <c r="T47" s="16">
        <v>68.04</v>
      </c>
      <c r="U47" s="17">
        <f>SUM(T47/T52)</f>
        <v>0.07379289401761312</v>
      </c>
      <c r="V47" s="16">
        <v>47.73</v>
      </c>
      <c r="W47" s="17">
        <f>SUM(V47/V52)</f>
        <v>0.049941405432553466</v>
      </c>
      <c r="X47" s="16">
        <v>57.37</v>
      </c>
      <c r="Y47" s="17">
        <f>SUM(X47/X52)</f>
        <v>0.032604556530938654</v>
      </c>
      <c r="Z47" s="16">
        <v>0</v>
      </c>
      <c r="AA47" s="53" t="e">
        <f>+Z47/Z$54</f>
        <v>#DIV/0!</v>
      </c>
      <c r="AB47" s="16">
        <v>0</v>
      </c>
      <c r="AC47" s="67" t="e">
        <f>+AB47/AB$54</f>
        <v>#DIV/0!</v>
      </c>
      <c r="AD47" s="16">
        <f t="shared" si="3"/>
        <v>498.77999500000004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0.002960370662905751</v>
      </c>
      <c r="F48" s="16">
        <f>'2007'!F48</f>
        <v>59.52</v>
      </c>
      <c r="G48" s="17">
        <f>SUM(F48/F52)</f>
        <v>0.08092706539255676</v>
      </c>
      <c r="H48" s="16">
        <v>23.24</v>
      </c>
      <c r="I48" s="17">
        <f>SUM(H48/H52)</f>
        <v>0.0338476029079312</v>
      </c>
      <c r="J48" s="16">
        <v>32.39</v>
      </c>
      <c r="K48" s="17">
        <f>SUM(J48/J52)</f>
        <v>0.0389205026920532</v>
      </c>
      <c r="L48" s="16">
        <f>2.01+22.5</f>
        <v>24.509999999999998</v>
      </c>
      <c r="M48" s="17">
        <f>SUM(L48/L52)</f>
        <v>0.029816402500352345</v>
      </c>
      <c r="N48" s="16">
        <v>3.68</v>
      </c>
      <c r="O48" s="17">
        <f>SUM(N48/N52)</f>
        <v>0.003910442389569546</v>
      </c>
      <c r="P48" s="61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SUM(R48/R52)</f>
        <v>0.014051110180142438</v>
      </c>
      <c r="T48" s="16">
        <v>14.6</v>
      </c>
      <c r="U48" s="17">
        <f>SUM(T48/T52)</f>
        <v>0.015834454036701227</v>
      </c>
      <c r="V48" s="16">
        <v>6.37</v>
      </c>
      <c r="W48" s="17">
        <f>SUM(V48/V52)</f>
        <v>0.006665132047043068</v>
      </c>
      <c r="X48" s="16">
        <v>8.92</v>
      </c>
      <c r="Y48" s="17">
        <f>SUM(X48/X52)</f>
        <v>0.005069420328673049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3"/>
        <v>178.13000000000002</v>
      </c>
      <c r="AE48" s="4"/>
      <c r="AF48" s="56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46"/>
      <c r="E49" s="53"/>
      <c r="F49" s="46"/>
      <c r="G49" s="53"/>
      <c r="H49" s="46"/>
      <c r="I49" s="53"/>
      <c r="J49" s="46"/>
      <c r="K49" s="53"/>
      <c r="L49" s="46"/>
      <c r="M49" s="53"/>
      <c r="N49" s="46"/>
      <c r="O49" s="53"/>
      <c r="P49" s="61">
        <v>6</v>
      </c>
      <c r="Q49" s="5" t="s">
        <v>43</v>
      </c>
      <c r="R49" s="46"/>
      <c r="S49" s="53"/>
      <c r="T49" s="46"/>
      <c r="U49" s="53">
        <f>SUM(T49/T52)</f>
        <v>0</v>
      </c>
      <c r="V49" s="46"/>
      <c r="W49" s="53">
        <f>SUM(V49/V52)</f>
        <v>0</v>
      </c>
      <c r="X49" s="16"/>
      <c r="Y49" s="53">
        <f>SUM(X49/X52)</f>
        <v>0</v>
      </c>
      <c r="Z49" s="46"/>
      <c r="AA49" s="53" t="e">
        <f>SUM(Z49/Z52)</f>
        <v>#DIV/0!</v>
      </c>
      <c r="AB49" s="46"/>
      <c r="AC49" s="53" t="e">
        <f>SUM(AB49/AB52)</f>
        <v>#DIV/0!</v>
      </c>
      <c r="AD49" s="16">
        <f t="shared" si="3"/>
        <v>0</v>
      </c>
      <c r="AE49" s="4"/>
      <c r="AF49" s="56"/>
    </row>
    <row r="50" spans="1:32" s="39" customFormat="1" ht="16.5" customHeight="1">
      <c r="A50" s="12">
        <v>7</v>
      </c>
      <c r="B50" s="5" t="s">
        <v>46</v>
      </c>
      <c r="C50" s="15" t="s">
        <v>12</v>
      </c>
      <c r="D50" s="68">
        <v>102.82</v>
      </c>
      <c r="E50" s="17"/>
      <c r="F50" s="68">
        <f>'[3]FEB-07'!$AC$10</f>
        <v>81.92</v>
      </c>
      <c r="G50" s="17"/>
      <c r="H50" s="68">
        <f>'[3]MAR-07'!$AE$10</f>
        <v>99.49</v>
      </c>
      <c r="I50" s="17"/>
      <c r="J50" s="68">
        <v>111.18</v>
      </c>
      <c r="K50" s="17"/>
      <c r="L50" s="68">
        <f>'[3]MAY-07'!$AF$10</f>
        <v>117.14999999999999</v>
      </c>
      <c r="M50" s="17"/>
      <c r="N50" s="68">
        <f>'[3]JUNE-07'!$AD$10</f>
        <v>95.42</v>
      </c>
      <c r="O50" s="17"/>
      <c r="P50" s="12">
        <v>7</v>
      </c>
      <c r="Q50" s="5" t="s">
        <v>45</v>
      </c>
      <c r="R50" s="70">
        <v>100.05</v>
      </c>
      <c r="S50" s="17"/>
      <c r="T50" s="68">
        <v>106.23</v>
      </c>
      <c r="U50" s="17"/>
      <c r="V50" s="68">
        <f>'[3]3RD QUARTER'!$C$19</f>
        <v>89.78</v>
      </c>
      <c r="W50" s="17"/>
      <c r="X50" s="68">
        <v>294.17</v>
      </c>
      <c r="Y50" s="17"/>
      <c r="Z50" s="16"/>
      <c r="AA50" s="17"/>
      <c r="AB50" s="16"/>
      <c r="AC50" s="17"/>
      <c r="AD50" s="68">
        <f t="shared" si="3"/>
        <v>1198.21</v>
      </c>
      <c r="AE50" s="4"/>
      <c r="AF50" s="56"/>
    </row>
    <row r="51" spans="1:32" s="33" customFormat="1" ht="12.75">
      <c r="A51" s="1"/>
      <c r="B51" s="1"/>
      <c r="C51" s="25"/>
      <c r="D51" s="18"/>
      <c r="E51" s="51"/>
      <c r="F51" s="24"/>
      <c r="G51" s="47"/>
      <c r="H51" s="55"/>
      <c r="I51" s="47"/>
      <c r="J51" s="24"/>
      <c r="K51" s="47"/>
      <c r="L51" s="24"/>
      <c r="M51" s="47"/>
      <c r="N51" s="24"/>
      <c r="O51" s="47"/>
      <c r="P51" s="24"/>
      <c r="Q51" s="24"/>
      <c r="R51" s="24"/>
      <c r="S51" s="47"/>
      <c r="T51" s="56"/>
      <c r="U51" s="57"/>
      <c r="V51" s="24"/>
      <c r="W51" s="47"/>
      <c r="X51" s="24"/>
      <c r="Y51" s="47" t="s">
        <v>0</v>
      </c>
      <c r="Z51" s="24"/>
      <c r="AA51" s="47"/>
      <c r="AB51" s="24"/>
      <c r="AC51" s="47"/>
      <c r="AD51" s="24"/>
      <c r="AE51" s="1"/>
      <c r="AF51" s="24"/>
    </row>
    <row r="52" spans="1:32" s="33" customFormat="1" ht="13.5" thickBot="1">
      <c r="A52" s="19"/>
      <c r="B52" s="20" t="s">
        <v>15</v>
      </c>
      <c r="C52" s="58"/>
      <c r="D52" s="16">
        <f>SUM(D44:D51)</f>
        <v>1155.26073908701</v>
      </c>
      <c r="E52" s="59"/>
      <c r="F52" s="16">
        <f>SUM(F44:F50)</f>
        <v>735.4770584017042</v>
      </c>
      <c r="G52" s="59"/>
      <c r="H52" s="16">
        <f>SUM(H44:H51)</f>
        <v>686.6069678025672</v>
      </c>
      <c r="I52" s="59"/>
      <c r="J52" s="16">
        <f>SUM(J44:J51)</f>
        <v>832.2091894926475</v>
      </c>
      <c r="K52" s="59"/>
      <c r="L52" s="16">
        <f>SUM(L44:L51)</f>
        <v>822.0307597373748</v>
      </c>
      <c r="M52" s="59"/>
      <c r="N52" s="16">
        <f>SUM(N44:N51)</f>
        <v>941.069995</v>
      </c>
      <c r="O52" s="59"/>
      <c r="P52" s="60"/>
      <c r="Q52" s="54" t="s">
        <v>15</v>
      </c>
      <c r="R52" s="16">
        <f>SUM(R44:R51)</f>
        <v>1193.5</v>
      </c>
      <c r="S52" s="16"/>
      <c r="T52" s="16">
        <f>SUM(T44:T51)</f>
        <v>922.0400000000001</v>
      </c>
      <c r="U52" s="16"/>
      <c r="V52" s="16">
        <f>SUM(V44:V51)</f>
        <v>955.7199999999999</v>
      </c>
      <c r="W52" s="59"/>
      <c r="X52" s="16">
        <f>SUM(X44:X51)</f>
        <v>1759.5700142574021</v>
      </c>
      <c r="Y52" s="59"/>
      <c r="Z52" s="16">
        <f>SUM(Z44:Z51)</f>
        <v>0</v>
      </c>
      <c r="AA52" s="59"/>
      <c r="AB52" s="16">
        <f>SUM(AB44:AB51)</f>
        <v>0</v>
      </c>
      <c r="AC52" s="59"/>
      <c r="AD52" s="16">
        <f>SUM(AD44:AD51)</f>
        <v>7288.194709521304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1445.0998989483578</v>
      </c>
      <c r="E54" s="23"/>
      <c r="F54" s="22">
        <f>F37+F52</f>
        <v>1002.91576951469</v>
      </c>
      <c r="G54" s="23"/>
      <c r="H54" s="22">
        <f>H37+H52</f>
        <v>993.7669129573646</v>
      </c>
      <c r="I54" s="23"/>
      <c r="J54" s="22">
        <f>J37+J52</f>
        <v>1101.4110295362186</v>
      </c>
      <c r="K54" s="23"/>
      <c r="L54" s="22">
        <f>L37+L52</f>
        <v>1177.532929357753</v>
      </c>
      <c r="M54" s="23"/>
      <c r="N54" s="22">
        <f>N37+N52</f>
        <v>1279.3251488471226</v>
      </c>
      <c r="O54" s="23"/>
      <c r="P54" s="19"/>
      <c r="Q54" s="20" t="s">
        <v>17</v>
      </c>
      <c r="R54" s="22">
        <f>R37+R52</f>
        <v>1533.0929452032574</v>
      </c>
      <c r="S54" s="22"/>
      <c r="T54" s="22">
        <f>T37+T52</f>
        <v>1255.7069267406023</v>
      </c>
      <c r="U54" s="22"/>
      <c r="V54" s="22">
        <f>V37+V52</f>
        <v>1247.7290399280355</v>
      </c>
      <c r="W54" s="44"/>
      <c r="X54" s="22">
        <f>+X52+X37</f>
        <v>2080.578466648919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9788.851561105366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0.012567421624198345</v>
      </c>
      <c r="E55" s="47"/>
      <c r="F55" s="27">
        <f>F39/F54</f>
        <v>0.028567991209150538</v>
      </c>
      <c r="G55" s="28" t="s">
        <v>0</v>
      </c>
      <c r="H55" s="27">
        <f>H39/H54</f>
        <v>0.014715391825045382</v>
      </c>
      <c r="I55" s="28"/>
      <c r="J55" s="27">
        <f>J39/J54</f>
        <v>0.010785718199638708</v>
      </c>
      <c r="K55" s="28"/>
      <c r="L55" s="27">
        <f>L39/L54</f>
        <v>0.015633821800025434</v>
      </c>
      <c r="M55" s="28"/>
      <c r="N55" s="27">
        <f>N39/N54</f>
        <v>0.009083028554082408</v>
      </c>
      <c r="O55" s="28"/>
      <c r="P55" s="41"/>
      <c r="Q55" s="5" t="s">
        <v>16</v>
      </c>
      <c r="R55" s="27">
        <f>R39/R54</f>
        <v>0.009632197997483376</v>
      </c>
      <c r="S55" s="28"/>
      <c r="T55" s="27">
        <f>T39/T54</f>
        <v>0.0098056903224691</v>
      </c>
      <c r="U55" s="28" t="s">
        <v>0</v>
      </c>
      <c r="V55" s="27">
        <f>V39/V54</f>
        <v>0.012046654033820856</v>
      </c>
      <c r="W55" s="28" t="s">
        <v>0</v>
      </c>
      <c r="X55" s="27">
        <f>X39/X54</f>
        <v>0.010122928765290072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40" r:id="rId1"/>
  <headerFooter alignWithMargins="0">
    <oddFooter>&amp;CPage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SheetLayoutView="100" workbookViewId="0" topLeftCell="Q1">
      <selection activeCell="X52" sqref="X52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9" customWidth="1"/>
    <col min="13" max="13" width="9.28125" style="0" customWidth="1"/>
    <col min="14" max="14" width="10.140625" style="69" customWidth="1"/>
    <col min="15" max="15" width="9.28125" style="0" customWidth="1"/>
    <col min="16" max="16" width="9.42187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69" customWidth="1"/>
    <col min="21" max="21" width="9.7109375" style="0" customWidth="1"/>
    <col min="24" max="24" width="9.140625" style="69" customWidth="1"/>
    <col min="26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'[2]JUN-07'!$AD$99*'[1]JUNE 07'!$AX4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(T5/T37)</f>
        <v>0.19368546706900672</v>
      </c>
      <c r="V5" s="16">
        <f>'[2]SEPT-07'!$AB$94*'[1]SEPT 07'!$AW4</f>
        <v>55.81015435569275</v>
      </c>
      <c r="W5" s="17">
        <f>SUM(V5/V37)</f>
        <v>0.1911247486360249</v>
      </c>
      <c r="X5" s="16">
        <f>'[2]OCT-07'!$AF$91*'[1]OCT 07'!$AZ4</f>
        <v>58.50583133670543</v>
      </c>
      <c r="Y5" s="17">
        <f>SUM(X5/X37)</f>
        <v>0.1822563577402287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592.8116696377316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 t="s">
        <v>0</v>
      </c>
      <c r="V6" s="16"/>
      <c r="W6" s="17"/>
      <c r="X6" s="16"/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'[2]JUN-07'!$AD$99*'[1]JUNE 07'!$AX6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16">
        <f>'[2]SEPT-07'!$AB$94*'[1]SEPT 07'!$AW6</f>
        <v>1.8013840901191909</v>
      </c>
      <c r="W7" s="17">
        <f>(V7/V37)</f>
        <v>0.006168932614425687</v>
      </c>
      <c r="X7" s="16">
        <f>'[2]OCT-07'!$AF$91*'[1]OCT 07'!$AZ6</f>
        <v>1.6874996302540897</v>
      </c>
      <c r="Y7" s="17">
        <f>SUM(X7/X37)</f>
        <v>0.005256869772998805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15.717422814135611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'[2]JUN-07'!$AD$99*'[1]JUNE 07'!$AX8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16">
        <f>'[2]SEPT-07'!$AB$94*'[1]SEPT 07'!$AW8</f>
        <v>26.201950401733686</v>
      </c>
      <c r="W9" s="17">
        <f>SUM(V9/V37)</f>
        <v>0.0897299289371009</v>
      </c>
      <c r="X9" s="16">
        <f>'[2]OCT-07'!$AF$91*'[1]OCT 07'!$AZ8</f>
        <v>32.89090188422516</v>
      </c>
      <c r="Y9" s="17">
        <f>SUM(X9/X37)</f>
        <v>0.10246117084826759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260.5007360540489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'[2]JUN-07'!$AD$99*'[1]JUNE 07'!$AX10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16">
        <f>'[2]SEPT-07'!$AB$94*'[1]SEPT 07'!$AW10</f>
        <v>81.52549710710852</v>
      </c>
      <c r="W11" s="17">
        <f>SUM(V11/V37)</f>
        <v>0.27918826460715107</v>
      </c>
      <c r="X11" s="16">
        <f>'[2]OCT-07'!$AF$91*'[1]OCT 07'!$AZ10</f>
        <v>96.88439435619843</v>
      </c>
      <c r="Y11" s="17">
        <f>SUM(X11/X37)</f>
        <v>0.30181259600614435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929.7185255195179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'[2]JUN-07'!$AD$99*'[1]JUNE 07'!$AX12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16">
        <f>'[2]SEPT-07'!$AB$94*'[1]SEPT 07'!$AW12</f>
        <v>0</v>
      </c>
      <c r="W13" s="17">
        <f>SUM(V13/V37)</f>
        <v>0</v>
      </c>
      <c r="X13" s="16">
        <f>'[2]OCT-07'!$AF$91*'[1]OCT 07'!$AZ12</f>
        <v>0</v>
      </c>
      <c r="Y13" s="17">
        <f>SUM(X13/X37)</f>
        <v>0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0.4699015598313006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16"/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'[2]JUN-07'!$AD$99*'[1]JUNE 07'!$AX14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16">
        <f>'[2]SEPT-07'!$AB$94*'[1]SEPT 07'!$AW14</f>
        <v>0.6082595628973891</v>
      </c>
      <c r="W15" s="17">
        <f>SUM(V15/V37)</f>
        <v>0.0020830162074684136</v>
      </c>
      <c r="X15" s="16">
        <f>'[2]OCT-07'!$AF$91*'[1]OCT 07'!$AZ14</f>
        <v>0.8547076049338895</v>
      </c>
      <c r="Y15" s="17">
        <f>SUM(X15/X37)</f>
        <v>0.002662570404505888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7.176947703814097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16"/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'[2]JUN-07'!$AD$99*'[1]JUNE 07'!$AX16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16">
        <f>'[2]SEPT-07'!$AB$94*'[1]SEPT 07'!$AW16</f>
        <v>3.6027681802383817</v>
      </c>
      <c r="W17" s="17">
        <f>SUM(V17/V37)</f>
        <v>0.012337865228851374</v>
      </c>
      <c r="X17" s="16">
        <f>'[2]OCT-07'!$AF$91*'[1]OCT 07'!$AZ16</f>
        <v>2.4545449167332207</v>
      </c>
      <c r="Y17" s="17">
        <f>SUM(X17/X37)</f>
        <v>0.007646356033452805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42.09391909944856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16"/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'[2]JUN-07'!$AD$99*'[1]JUNE 07'!$AX18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16">
        <f>'[2]SEPT-07'!$AB$94*'[1]SEPT 07'!$AW18</f>
        <v>7.397372068775171</v>
      </c>
      <c r="W19" s="17">
        <f>SUM(V19/V37)</f>
        <v>0.025332681723135093</v>
      </c>
      <c r="X19" s="16">
        <f>'[2]OCT-07'!$AF$91*'[1]OCT 07'!$AZ18</f>
        <v>5.2991871505901145</v>
      </c>
      <c r="Y19" s="17">
        <f>SUM(X19/X37)</f>
        <v>0.016507936507936503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66.77950618868441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16"/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'[2]JUN-07'!$AD$99*'[1]JUNE 07'!$AX20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16">
        <f>'[2]SEPT-07'!$AB$94*'[1]SEPT 07'!$AW20</f>
        <v>3.5185476253756667</v>
      </c>
      <c r="W21" s="17">
        <f>SUM(V21/V37)</f>
        <v>0.012049447600124979</v>
      </c>
      <c r="X21" s="16">
        <f>'[2]OCT-07'!$AF$91*'[1]OCT 07'!$AZ20</f>
        <v>2.6780838287928534</v>
      </c>
      <c r="Y21" s="17">
        <f>SUM(X21/X37)</f>
        <v>0.008342720600785114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27.933226068501046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16"/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'[2]JUN-07'!$AD$99*'[1]JUNE 07'!$AX22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16">
        <f>'[2]SEPT-07'!$AB$94*'[1]SEPT 07'!$AW22</f>
        <v>10.66325802956269</v>
      </c>
      <c r="W23" s="17">
        <f>SUM(V23/V37)</f>
        <v>0.03651687643708088</v>
      </c>
      <c r="X23" s="16">
        <f>'[2]OCT-07'!$AF$91*'[1]OCT 07'!$AZ22</f>
        <v>7.201459461058361</v>
      </c>
      <c r="Y23" s="17">
        <f>SUM(X23/X37)</f>
        <v>0.022433862433862427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79.09204603512072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16"/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'[2]JUN-07'!$AD$99*'[1]JUNE 07'!$AX24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16">
        <f>'[2]SEPT-07'!$AB$94*'[1]SEPT 07'!$AW24</f>
        <v>3.6495573773843346</v>
      </c>
      <c r="W25" s="17">
        <f>SUM(V25/V37)</f>
        <v>0.012498097244810482</v>
      </c>
      <c r="X25" s="16">
        <f>'[2]OCT-07'!$AF$91*'[1]OCT 07'!$AZ24</f>
        <v>4.843343094625373</v>
      </c>
      <c r="Y25" s="17">
        <f>SUM(X25/X37)</f>
        <v>0.015087898958866697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43.25805488470939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16"/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'[2]JUN-07'!$AD$99*'[1]JUNE 07'!$AX26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16">
        <f>'[2]SEPT-07'!$AB$94*'[1]SEPT 07'!$AW26</f>
        <v>2.4330382515895566</v>
      </c>
      <c r="W27" s="17">
        <f>SUM(V27/V37)</f>
        <v>0.008332064829873654</v>
      </c>
      <c r="X27" s="16">
        <f>'[2]OCT-07'!$AF$91*'[1]OCT 07'!$AZ26</f>
        <v>1.9943177448457419</v>
      </c>
      <c r="Y27" s="17">
        <f>SUM(X27/X37)</f>
        <v>0.006212664277180404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22.39238195999066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16"/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'[2]JUN-07'!$AD$99*'[1]JUNE 07'!$AX28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16">
        <f>'[2]SEPT-07'!$AB$94*'[1]SEPT 07'!$AW28</f>
        <v>2.33010201786846</v>
      </c>
      <c r="W29" s="17">
        <f>SUM(V29/V37)</f>
        <v>0.007979554394763616</v>
      </c>
      <c r="X29" s="16">
        <f>'[2]OCT-07'!$AF$91*'[1]OCT 07'!$AZ28</f>
        <v>2.546590351110717</v>
      </c>
      <c r="Y29" s="17">
        <f>SUM(X29/X37)</f>
        <v>0.007933094384707287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16.43085721382642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16"/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16"/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'[2]JUN-07'!$AD$99*'[1]JUNE 07'!$AX31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16">
        <f>'[2]SEPT-07'!$AB$94*'[1]SEPT 07'!$AW31</f>
        <v>65.50487600433422</v>
      </c>
      <c r="W32" s="17">
        <f>SUM(V32/V37)</f>
        <v>0.22432482234275228</v>
      </c>
      <c r="X32" s="16">
        <f>'[2]OCT-07'!$AF$91*'[1]OCT 07'!$AZ31</f>
        <v>72.8693022155175</v>
      </c>
      <c r="Y32" s="17">
        <f>SUM(X32/X37)</f>
        <v>0.22700119474313016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708.1977835930105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'[2]JUN-07'!$AD$99*'[1]JUNE 07'!$AX32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16">
        <f>'[2]SEPT-07'!$AB$94*'[1]SEPT 07'!$AW32</f>
        <v>23.979463537300916</v>
      </c>
      <c r="W33" s="17">
        <f>SUM(V33/V37)</f>
        <v>0.08211890817904323</v>
      </c>
      <c r="X33" s="16">
        <f>'[2]OCT-07'!$AF$91*'[1]OCT 07'!$AZ32</f>
        <v>26.846585026769603</v>
      </c>
      <c r="Y33" s="17">
        <f>SUM(X33/X37)</f>
        <v>0.08363201911589005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267.5501018345169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16"/>
      <c r="W34" s="17"/>
      <c r="X34" s="16"/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'[2]JUN-07'!$AD$99*'[1]JUNE 07'!$AX34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16">
        <f>'[2]SEPT-07'!$AB$94*'[1]SEPT 07'!$AW$34</f>
        <v>2.9828113180545044</v>
      </c>
      <c r="W35" s="17">
        <f>SUM(V35/V37)</f>
        <v>0.010214791017393183</v>
      </c>
      <c r="X35" s="16">
        <f>'[2]OCT-07'!$AF$91*'[1]OCT 07'!$AZ34</f>
        <v>3.4517037891560918</v>
      </c>
      <c r="Y35" s="17">
        <f>SUM(X35/X37)</f>
        <v>0.010752688172043006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33.55126373672665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16"/>
      <c r="W36" s="17"/>
      <c r="X36" s="16"/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SUM(N5:N36)</f>
        <v>338.25515384712264</v>
      </c>
      <c r="O37" s="23">
        <f>SUM(O5:O36)</f>
        <v>0.9999999999999998</v>
      </c>
      <c r="P37" s="19"/>
      <c r="Q37" s="20" t="s">
        <v>30</v>
      </c>
      <c r="R37" s="22">
        <f aca="true" t="shared" si="2" ref="R37:W37">SUM(R5:R36)</f>
        <v>339.5929452032574</v>
      </c>
      <c r="S37" s="23">
        <f t="shared" si="2"/>
        <v>0.9999999999999999</v>
      </c>
      <c r="T37" s="22">
        <f t="shared" si="2"/>
        <v>333.66692674060226</v>
      </c>
      <c r="U37" s="23">
        <f t="shared" si="2"/>
        <v>1</v>
      </c>
      <c r="V37" s="22">
        <f t="shared" si="2"/>
        <v>292.0090399280355</v>
      </c>
      <c r="W37" s="23">
        <f t="shared" si="2"/>
        <v>0.9999999999999998</v>
      </c>
      <c r="X37" s="22">
        <f>SUM(X5:X36)</f>
        <v>321.00845239151664</v>
      </c>
      <c r="Y37" s="23">
        <f>SUM(Y5:Y36)</f>
        <v>0.9999999999999998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3113.674343903615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64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'[2]JAN-07'!$AE$81*'[1]JAN 07'!$AY$36-'[8]WILLETS TOTALS'!$D$27</f>
        <v>18.161179719170434</v>
      </c>
      <c r="E39" s="17">
        <f>D39/$D37</f>
        <v>0.06265950994288802</v>
      </c>
      <c r="F39" s="16">
        <f>'[2]FEB-07'!$AD$93*'[1]FEB 07'!$AW$37-'[8]WILLETS TOTALS'!$F$27</f>
        <v>9.001630230060933</v>
      </c>
      <c r="G39" s="17">
        <f>SUM(F39/F37)</f>
        <v>0.033658665914890605</v>
      </c>
      <c r="H39" s="16">
        <f>'[2]MAR-07'!$AE$103*'[1]MARCH 07'!$AZ36-'[8]WILLETS TOTALS'!$H$27</f>
        <v>14.623669506933389</v>
      </c>
      <c r="I39" s="17">
        <f>SUM(H39/H37)</f>
        <v>0.04760929847009703</v>
      </c>
      <c r="J39" s="16">
        <f>'[2]APR-07'!$AD$98*'[1]APRIL 07'!$AX36-'[8]WILLETS TOTALS'!$J$27</f>
        <v>11.879508986551599</v>
      </c>
      <c r="K39" s="17">
        <f>SUM(J39/J37)</f>
        <v>0.04412863219890646</v>
      </c>
      <c r="L39" s="16">
        <f>'[2]MAY-07'!$AF$98*'[1]MAY 07'!$AZ36-'[8]WILLETS TOTALS'!$L$27</f>
        <v>18.409339981241047</v>
      </c>
      <c r="M39" s="17">
        <f>SUM(L39/L37)</f>
        <v>0.05178404396490577</v>
      </c>
      <c r="N39" s="16">
        <f>'[2]JUN-07'!$AD$99*'[1]JUNE 07'!$AX36-'[8]WILLETS TOTALS'!$N$27</f>
        <v>11.620146856934142</v>
      </c>
      <c r="O39" s="17">
        <f>SUM(N39/N37)</f>
        <v>0.034353199721491805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72">
        <f>'2007'!T39</f>
        <v>12.31307325939774</v>
      </c>
      <c r="U39" s="17">
        <f>SUM(T39/T37)</f>
        <v>0.036902288697525334</v>
      </c>
      <c r="V39" s="16">
        <f>'[2]SEPT-07'!$AB$94*'[1]SEPT 07'!$AW$36-36.25</f>
        <v>15.030960071964493</v>
      </c>
      <c r="W39" s="17">
        <f>SUM(V39/V37)</f>
        <v>0.0514742970822712</v>
      </c>
      <c r="X39" s="16">
        <f>'[2]OCT-07'!$AF$91*'[1]OCT 07'!$AZ$36-28.38</f>
        <v>21.061547608483455</v>
      </c>
      <c r="Y39" s="17">
        <f>SUM(X39/X37)</f>
        <v>0.06561057022509745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146.86811101747995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7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1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1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D44/$D51</f>
        <v>0.41856697228607803</v>
      </c>
      <c r="F44" s="16">
        <f>483.04-F5-F7-F9-F11-'[2]FEB-07'!$AD$102-'[5]Jan'!$E$13</f>
        <v>279.537818952608</v>
      </c>
      <c r="G44" s="17">
        <f>SUM(F44/F51)</f>
        <v>0.43870605227574777</v>
      </c>
      <c r="H44" s="16">
        <f>408.82-'[2]MAR-07'!$AE$112-H5-119.19-'[5]Mar'!$E$13</f>
        <v>138.58335934700392</v>
      </c>
      <c r="I44" s="17">
        <f>SUM(H44/H51)</f>
        <v>0.23604046032886256</v>
      </c>
      <c r="J44" s="16">
        <f>636.65-J5-J7-J9-J11-'[5]April'!$E$13-'[2]APR-07'!$AD$107</f>
        <v>410.1479519041434</v>
      </c>
      <c r="K44" s="17">
        <f>SUM(J44/J51)</f>
        <v>0.5688368208681596</v>
      </c>
      <c r="L44" s="16">
        <f>491.02-104.94-'[5]May'!$E$13-'[2]MAY-07'!$AF$107</f>
        <v>299.1</v>
      </c>
      <c r="M44" s="17">
        <f>SUM(L44/L51)</f>
        <v>0.4243270877636652</v>
      </c>
      <c r="N44" s="16">
        <f>696.89-209.98-54.7</f>
        <v>432.21</v>
      </c>
      <c r="O44" s="17">
        <f>SUM(N44/N51)</f>
        <v>0.5110979749961448</v>
      </c>
      <c r="P44" s="12">
        <v>1</v>
      </c>
      <c r="Q44" s="5" t="s">
        <v>13</v>
      </c>
      <c r="R44" s="16">
        <f>276.35+44.65+383.4-99.68-9.76</f>
        <v>594.96</v>
      </c>
      <c r="S44" s="17">
        <f>SUM(R44/R51)</f>
        <v>0.5441126709040194</v>
      </c>
      <c r="T44" s="16">
        <f>182.21+44.41+390.96+21.98-270.15</f>
        <v>369.40999999999997</v>
      </c>
      <c r="U44" s="17">
        <f>SUM(T44/T51)</f>
        <v>0.452813767911646</v>
      </c>
      <c r="V44" s="16">
        <f>254.82+341.75-'[2]SEPT-07'!$AB$103</f>
        <v>545.28</v>
      </c>
      <c r="W44" s="17">
        <f>+V44/V$51</f>
        <v>0.6296972076587293</v>
      </c>
      <c r="X44" s="16">
        <f>637.34-'[2]OCT-07'!$AF$100</f>
        <v>604.0400000000001</v>
      </c>
      <c r="Y44" s="17">
        <f>+X44/X$51</f>
        <v>0.412201442693516</v>
      </c>
      <c r="Z44" s="16">
        <v>0</v>
      </c>
      <c r="AA44" s="17" t="e">
        <f>+Z44/#REF!</f>
        <v>#REF!</v>
      </c>
      <c r="AB44" s="16">
        <v>0</v>
      </c>
      <c r="AC44" s="66" t="e">
        <f>+AB44/#REF!</f>
        <v>#REF!</v>
      </c>
      <c r="AD44" s="16">
        <f>SUM(D44+F44+H44+J44+L44+N44+R44+T44+V44+X44+Z44+AB44)</f>
        <v>4113.786063873928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D45/$D51</f>
        <v>0</v>
      </c>
      <c r="F45" s="16">
        <f>'[4]STRATEGIC '!$C$15-F32-F33-'[5]Feb'!$E$16</f>
        <v>171.52308733891547</v>
      </c>
      <c r="G45" s="17">
        <f>SUM(F45/F51)</f>
        <v>0.269187964628719</v>
      </c>
      <c r="H45" s="16">
        <f>410.43-'[5]Mar'!$E$17-H32-H33</f>
        <v>287.2636084555632</v>
      </c>
      <c r="I45" s="17">
        <f>SUM(H45/H51)</f>
        <v>0.48927832818513056</v>
      </c>
      <c r="J45" s="16">
        <f>288.29-'[5]April'!$E$17-J32-J33</f>
        <v>177.17123758850397</v>
      </c>
      <c r="K45" s="17">
        <f>SUM(J45/J51)</f>
        <v>0.24571992392315017</v>
      </c>
      <c r="L45" s="16">
        <f>407.17-'[5]May'!$E$17-L32-L33</f>
        <v>263.52075973737476</v>
      </c>
      <c r="M45" s="17">
        <f>SUM(L45/L51)</f>
        <v>0.3738515431114301</v>
      </c>
      <c r="N45" s="16">
        <f>334.74-133.48</f>
        <v>201.26000000000002</v>
      </c>
      <c r="O45" s="17">
        <f>SUM(N45/N51)</f>
        <v>0.23799444355226423</v>
      </c>
      <c r="P45" s="12">
        <v>2</v>
      </c>
      <c r="Q45" s="5" t="s">
        <v>11</v>
      </c>
      <c r="R45" s="16">
        <f>430.64-175.47</f>
        <v>255.17</v>
      </c>
      <c r="S45" s="17">
        <f>SUM(R45/R51)</f>
        <v>0.23336229365768896</v>
      </c>
      <c r="T45" s="16">
        <f>455.42-291.95</f>
        <v>163.47000000000003</v>
      </c>
      <c r="U45" s="17">
        <f>SUM(T45/T51)</f>
        <v>0.20037753888773124</v>
      </c>
      <c r="V45" s="16">
        <v>239.4</v>
      </c>
      <c r="W45" s="17">
        <f>+V45/V$51</f>
        <v>0.276462572464605</v>
      </c>
      <c r="X45" s="16">
        <f>642.55-'[8]WILLETS TOTALS'!$X$22-'[8]WILLETS TOTALS'!$X$23</f>
        <v>585.3153148756173</v>
      </c>
      <c r="Y45" s="17">
        <f>+X45/X$51</f>
        <v>0.3994235766213149</v>
      </c>
      <c r="Z45" s="16">
        <v>0</v>
      </c>
      <c r="AA45" s="17" t="e">
        <f>+Z45/#REF!</f>
        <v>#REF!</v>
      </c>
      <c r="AB45" s="16">
        <v>0</v>
      </c>
      <c r="AC45" s="66" t="e">
        <f>+AB45/#REF!</f>
        <v>#REF!</v>
      </c>
      <c r="AD45" s="16">
        <f>SUM(D45+F45+H45+J45+L45+N45+R45+T45+V45+X45+Z45+AB45)</f>
        <v>2344.094007995975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D46/$D51</f>
        <v>0.5354636935716789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SUM(F46/F51)</f>
        <v>0.13941926619321812</v>
      </c>
      <c r="H46" s="46">
        <f>324.05-21.88-'[5]Mar'!$E$18-4.9-'[2]MAR-07'!$AE$110</f>
        <v>69.29000000000005</v>
      </c>
      <c r="I46" s="53">
        <f>SUM(H46/H51)</f>
        <v>0.11801736928049499</v>
      </c>
      <c r="J46" s="46">
        <f>170.59+84.58-'[2]APR-07'!$AD$105</f>
        <v>52.75000000000003</v>
      </c>
      <c r="K46" s="53">
        <f>SUM(J46/J51)</f>
        <v>0.07315931278332517</v>
      </c>
      <c r="L46" s="46">
        <f>274.34-28.65-'[2]MAY-07'!$AF$105</f>
        <v>40.91</v>
      </c>
      <c r="M46" s="53">
        <f>SUM(L46/L51)</f>
        <v>0.05803818508997506</v>
      </c>
      <c r="N46" s="46">
        <v>133.39</v>
      </c>
      <c r="O46" s="53">
        <f>SUM(N46/N51)</f>
        <v>0.15773665321194733</v>
      </c>
      <c r="P46" s="12">
        <v>3</v>
      </c>
      <c r="Q46" s="45" t="s">
        <v>35</v>
      </c>
      <c r="R46" s="46">
        <f>43.33+9.76+38.18+56.53</f>
        <v>147.8</v>
      </c>
      <c r="S46" s="53">
        <f>SUM(R46/R51)</f>
        <v>0.13516850336092187</v>
      </c>
      <c r="T46" s="46">
        <f>45.58+20.41+134.3</f>
        <v>200.29000000000002</v>
      </c>
      <c r="U46" s="53">
        <f>SUM(T46/T51)</f>
        <v>0.24551059683014428</v>
      </c>
      <c r="V46" s="46">
        <v>27.16</v>
      </c>
      <c r="W46" s="53">
        <f>+V46/V$51</f>
        <v>0.03136475968311893</v>
      </c>
      <c r="X46" s="46">
        <f>110.1-'[8]WILLETS TOTALS'!$X$11-'[8]WILLETS TOTALS'!$X$13-'[8]WILLETS TOTALS'!$X$15-'[8]WILLETS TOTALS'!$X$17+109.25</f>
        <v>209.7546993817848</v>
      </c>
      <c r="Y46" s="53">
        <f>+X46/X$51</f>
        <v>0.14313818571107284</v>
      </c>
      <c r="Z46" s="46">
        <v>0</v>
      </c>
      <c r="AA46" s="53" t="e">
        <f>+Z46/#REF!</f>
        <v>#REF!</v>
      </c>
      <c r="AB46" s="46">
        <v>0</v>
      </c>
      <c r="AC46" s="67" t="e">
        <f>+AB46/#REF!</f>
        <v>#REF!</v>
      </c>
      <c r="AD46" s="16">
        <f>SUM(D46+F46+H46+J46+L46+N46+R46+T46+V46+X46+Z46+AB46)</f>
        <v>1533.7246569088038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D47/$D51</f>
        <v>0.04271974499866158</v>
      </c>
      <c r="F47" s="16">
        <f>'2007'!F47</f>
        <v>37.77</v>
      </c>
      <c r="G47" s="17">
        <f>SUM(F47/F51)</f>
        <v>0.05927615682393304</v>
      </c>
      <c r="H47" s="16">
        <f>'2007'!H47</f>
        <v>68.74</v>
      </c>
      <c r="I47" s="17">
        <f>SUM(H47/H51)</f>
        <v>0.11708058831492595</v>
      </c>
      <c r="J47" s="16">
        <f>'2007'!J47</f>
        <v>48.57</v>
      </c>
      <c r="K47" s="17">
        <f>SUM(J47/J51)</f>
        <v>0.06736204401679813</v>
      </c>
      <c r="L47" s="16">
        <f>'2007'!L47</f>
        <v>76.84</v>
      </c>
      <c r="M47" s="17">
        <f>SUM(L47/L51)</f>
        <v>0.10901134544888008</v>
      </c>
      <c r="N47" s="16">
        <f>'[6]BP JUNE'!$D$26-3.68</f>
        <v>75.109995</v>
      </c>
      <c r="O47" s="17">
        <f>SUM(N47/N51)</f>
        <v>0.08881924607591347</v>
      </c>
      <c r="P47" s="61">
        <v>4</v>
      </c>
      <c r="Q47" s="5" t="s">
        <v>42</v>
      </c>
      <c r="R47" s="16">
        <f>'[7]BP JULY'!$D$15+55.4</f>
        <v>78.75</v>
      </c>
      <c r="S47" s="17">
        <f>SUM(R47/R51)</f>
        <v>0.07201975398966573</v>
      </c>
      <c r="T47" s="16">
        <v>68.04</v>
      </c>
      <c r="U47" s="17">
        <f>SUM(T47/T51)</f>
        <v>0.08340177247153137</v>
      </c>
      <c r="V47" s="16">
        <v>47.73</v>
      </c>
      <c r="W47" s="17">
        <f>SUM(V47/V51)</f>
        <v>0.05511929232972261</v>
      </c>
      <c r="X47" s="16">
        <v>57.37</v>
      </c>
      <c r="Y47" s="17">
        <f>SUM(X47/X51)</f>
        <v>0.03914971983200949</v>
      </c>
      <c r="Z47" s="16">
        <v>0</v>
      </c>
      <c r="AA47" s="53" t="e">
        <f>+Z47/#REF!</f>
        <v>#REF!</v>
      </c>
      <c r="AB47" s="16">
        <v>0</v>
      </c>
      <c r="AC47" s="67" t="e">
        <f>+AB47/#REF!</f>
        <v>#REF!</v>
      </c>
      <c r="AD47" s="16">
        <f>SUM(D47+F47+H47+J47+L47+N47+R47+T47+V47+X47+Z47+AB47)</f>
        <v>498.77999500000004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D48/$D51</f>
        <v>0.0032495891435814638</v>
      </c>
      <c r="F48" s="16">
        <f>'2007'!F48</f>
        <v>59.52</v>
      </c>
      <c r="G48" s="17">
        <f>SUM(F48/F51)</f>
        <v>0.09341056007838217</v>
      </c>
      <c r="H48" s="16">
        <f>'2007'!H48</f>
        <v>23.24</v>
      </c>
      <c r="I48" s="17">
        <f>SUM(H48/H51)</f>
        <v>0.03958325389058596</v>
      </c>
      <c r="J48" s="16">
        <f>'2007'!J48</f>
        <v>32.39</v>
      </c>
      <c r="K48" s="17">
        <f>SUM(J48/J51)</f>
        <v>0.04492189840856684</v>
      </c>
      <c r="L48" s="16">
        <f>'2007'!L48</f>
        <v>24.509999999999998</v>
      </c>
      <c r="M48" s="17">
        <f>SUM(L48/L51)</f>
        <v>0.03477183858604959</v>
      </c>
      <c r="N48" s="16">
        <v>3.68</v>
      </c>
      <c r="O48" s="17">
        <f>SUM(N48/N51)</f>
        <v>0.004351682163730161</v>
      </c>
      <c r="P48" s="61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SUM(R48/R51)</f>
        <v>0.015336778087704055</v>
      </c>
      <c r="T48" s="16">
        <v>14.6</v>
      </c>
      <c r="U48" s="17">
        <f>SUM(T48/T51)</f>
        <v>0.017896323898947058</v>
      </c>
      <c r="V48" s="16">
        <v>6.37</v>
      </c>
      <c r="W48" s="17">
        <f>SUM(V48/V51)</f>
        <v>0.007356167863824284</v>
      </c>
      <c r="X48" s="16">
        <v>8.92</v>
      </c>
      <c r="Y48" s="17">
        <f>SUM(X48/X51)</f>
        <v>0.006087075142086886</v>
      </c>
      <c r="Z48" s="16">
        <v>0</v>
      </c>
      <c r="AA48" s="17" t="e">
        <f>+Z48/Z$51</f>
        <v>#DIV/0!</v>
      </c>
      <c r="AB48" s="16">
        <v>0</v>
      </c>
      <c r="AC48" s="17" t="e">
        <f>+AB48/#REF!</f>
        <v>#REF!</v>
      </c>
      <c r="AD48" s="16">
        <f>SUM(D48+F48+H48+J48+L48+N48+R48+T48+V48+X48+Z48+AB48)</f>
        <v>178.13000000000002</v>
      </c>
      <c r="AE48" s="4"/>
      <c r="AF48" s="18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61">
        <v>6</v>
      </c>
      <c r="Q49" s="5" t="s">
        <v>43</v>
      </c>
      <c r="R49" s="16"/>
      <c r="S49" s="17"/>
      <c r="T49" s="16"/>
      <c r="U49" s="17">
        <f>SUM(T49/T51)</f>
        <v>0</v>
      </c>
      <c r="V49" s="16"/>
      <c r="W49" s="17">
        <f>SUM(V49/V51)</f>
        <v>0</v>
      </c>
      <c r="X49" s="16"/>
      <c r="Y49" s="17">
        <f>SUM(X49/X51)</f>
        <v>0</v>
      </c>
      <c r="Z49" s="16"/>
      <c r="AA49" s="17" t="e">
        <f>SUM(Z49/Z51)</f>
        <v>#DIV/0!</v>
      </c>
      <c r="AB49" s="16"/>
      <c r="AC49" s="17" t="e">
        <f>SUM(AB49/AB51)</f>
        <v>#DIV/0!</v>
      </c>
      <c r="AD49" s="16"/>
      <c r="AE49" s="4"/>
      <c r="AF49" s="18"/>
    </row>
    <row r="50" spans="1:32" s="33" customFormat="1" ht="12.75">
      <c r="A50" s="1"/>
      <c r="B50" s="1"/>
      <c r="C50" s="25"/>
      <c r="D50" s="18"/>
      <c r="E50" s="51"/>
      <c r="F50" s="24"/>
      <c r="G50" s="47"/>
      <c r="H50" s="55"/>
      <c r="I50" s="47"/>
      <c r="J50" s="24"/>
      <c r="K50" s="47"/>
      <c r="L50" s="24"/>
      <c r="M50" s="47"/>
      <c r="N50" s="24"/>
      <c r="O50" s="47"/>
      <c r="P50" s="24"/>
      <c r="Q50" s="24"/>
      <c r="R50" s="24"/>
      <c r="S50" s="47"/>
      <c r="T50" s="24"/>
      <c r="U50" s="57"/>
      <c r="V50" s="24"/>
      <c r="W50" s="47"/>
      <c r="X50" s="24"/>
      <c r="Y50" s="47" t="s">
        <v>0</v>
      </c>
      <c r="Z50" s="24"/>
      <c r="AA50" s="47"/>
      <c r="AB50" s="24"/>
      <c r="AC50" s="47"/>
      <c r="AD50" s="24"/>
      <c r="AE50" s="1"/>
      <c r="AF50" s="18"/>
    </row>
    <row r="51" spans="1:32" s="33" customFormat="1" ht="13.5" thickBot="1">
      <c r="A51" s="19"/>
      <c r="B51" s="20" t="s">
        <v>15</v>
      </c>
      <c r="C51" s="58"/>
      <c r="D51" s="16">
        <f>SUM(D44:D50)</f>
        <v>1052.4407390870101</v>
      </c>
      <c r="E51" s="59"/>
      <c r="F51" s="16">
        <f>SUM(F44:F49)</f>
        <v>637.1870584017042</v>
      </c>
      <c r="G51" s="59"/>
      <c r="H51" s="16">
        <f>SUM(H44:H50)</f>
        <v>587.1169678025672</v>
      </c>
      <c r="I51" s="59"/>
      <c r="J51" s="16">
        <f>SUM(J44:J50)</f>
        <v>721.0291894926474</v>
      </c>
      <c r="K51" s="59"/>
      <c r="L51" s="16">
        <f>SUM(L44:L50)</f>
        <v>704.8807597373748</v>
      </c>
      <c r="M51" s="59"/>
      <c r="N51" s="16">
        <f>SUM(N44:N50)</f>
        <v>845.649995</v>
      </c>
      <c r="O51" s="59"/>
      <c r="P51" s="60"/>
      <c r="Q51" s="54" t="s">
        <v>15</v>
      </c>
      <c r="R51" s="16">
        <f>SUM(R44:R50)</f>
        <v>1093.45</v>
      </c>
      <c r="S51" s="16"/>
      <c r="T51" s="16">
        <f>SUM(T44:T50)</f>
        <v>815.8100000000001</v>
      </c>
      <c r="U51" s="16"/>
      <c r="V51" s="16">
        <f>SUM(V44:V50)</f>
        <v>865.9399999999999</v>
      </c>
      <c r="W51" s="59"/>
      <c r="X51" s="16">
        <f>SUM(X44:X50)</f>
        <v>1465.400014257402</v>
      </c>
      <c r="Y51" s="59"/>
      <c r="Z51" s="16">
        <f>SUM(Z44:Z50)</f>
        <v>0</v>
      </c>
      <c r="AA51" s="59"/>
      <c r="AB51" s="16">
        <f>SUM(AB44:AB50)</f>
        <v>0</v>
      </c>
      <c r="AC51" s="59"/>
      <c r="AD51" s="16">
        <f>SUM(AD44:AD50)</f>
        <v>6457.564709521304</v>
      </c>
      <c r="AE51" s="1"/>
      <c r="AF51" s="18"/>
    </row>
    <row r="52" spans="1:32" s="31" customFormat="1" ht="17.25" customHeight="1" thickTop="1">
      <c r="A52" s="41"/>
      <c r="B52" s="5" t="s">
        <v>34</v>
      </c>
      <c r="C52" s="6"/>
      <c r="D52" s="27">
        <f>D39/D51</f>
        <v>0.01725624925440003</v>
      </c>
      <c r="E52" s="27"/>
      <c r="F52" s="27">
        <f>F39/F51</f>
        <v>0.044965271201335935</v>
      </c>
      <c r="G52" s="27"/>
      <c r="H52" s="27">
        <f>H39/H51</f>
        <v>0.02490759134702945</v>
      </c>
      <c r="I52" s="27"/>
      <c r="J52" s="27">
        <f>J39/J51</f>
        <v>0.016475767083591473</v>
      </c>
      <c r="K52" s="27"/>
      <c r="L52" s="27">
        <f>L39/L51</f>
        <v>0.026116956275129454</v>
      </c>
      <c r="M52" s="28"/>
      <c r="N52" s="27">
        <f>N39/N51</f>
        <v>0.013741083102512337</v>
      </c>
      <c r="O52" s="28"/>
      <c r="P52" s="41"/>
      <c r="Q52" s="5" t="s">
        <v>16</v>
      </c>
      <c r="R52" s="27">
        <f>R39/R51</f>
        <v>0.013505011474454895</v>
      </c>
      <c r="S52" s="28"/>
      <c r="T52" s="27">
        <f>T39/T51</f>
        <v>0.015093064879564775</v>
      </c>
      <c r="U52" s="28" t="s">
        <v>0</v>
      </c>
      <c r="V52" s="27">
        <f>V39/V51</f>
        <v>0.017357969457427184</v>
      </c>
      <c r="W52" s="28" t="s">
        <v>0</v>
      </c>
      <c r="X52" s="27">
        <f>X39/X51</f>
        <v>0.014372558621242055</v>
      </c>
      <c r="Y52" s="29"/>
      <c r="Z52" s="27" t="e">
        <f>Z39/#REF!</f>
        <v>#REF!</v>
      </c>
      <c r="AA52" s="29"/>
      <c r="AB52" s="27" t="e">
        <f>AB39/#REF!</f>
        <v>#REF!</v>
      </c>
      <c r="AC52" s="29" t="s">
        <v>0</v>
      </c>
      <c r="AD52" s="27"/>
      <c r="AE52" s="5"/>
      <c r="AF52" s="18"/>
    </row>
    <row r="53" spans="1:32" s="31" customFormat="1" ht="17.25" customHeight="1">
      <c r="A53" s="42" t="s">
        <v>37</v>
      </c>
      <c r="B53" s="29" t="s">
        <v>38</v>
      </c>
      <c r="C53" s="29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 t="s">
        <v>0</v>
      </c>
      <c r="O53" s="28"/>
      <c r="P53" s="42" t="s">
        <v>37</v>
      </c>
      <c r="Q53" s="29" t="s">
        <v>38</v>
      </c>
      <c r="R53" s="29"/>
      <c r="S53" s="27" t="s">
        <v>0</v>
      </c>
      <c r="T53" s="12"/>
      <c r="U53" s="27" t="s">
        <v>0</v>
      </c>
      <c r="V53" s="28"/>
      <c r="W53" s="28" t="s">
        <v>0</v>
      </c>
      <c r="X53" s="40"/>
      <c r="Y53" s="29"/>
      <c r="Z53" s="40" t="s">
        <v>0</v>
      </c>
      <c r="AA53" s="29"/>
      <c r="AB53" s="40"/>
      <c r="AC53" s="29"/>
      <c r="AD53" s="40"/>
      <c r="AE53" s="5"/>
      <c r="AF53" s="71"/>
    </row>
    <row r="54" spans="1:32" s="31" customFormat="1" ht="17.25" customHeight="1">
      <c r="A54" s="42" t="s">
        <v>19</v>
      </c>
      <c r="B54" s="29" t="s">
        <v>40</v>
      </c>
      <c r="C54" s="29"/>
      <c r="D54" s="27"/>
      <c r="E54" s="28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42" t="s">
        <v>19</v>
      </c>
      <c r="Q54" s="29" t="s">
        <v>40</v>
      </c>
      <c r="R54" s="29"/>
      <c r="S54" s="27"/>
      <c r="T54" s="12"/>
      <c r="U54" s="27"/>
      <c r="V54" s="28"/>
      <c r="W54" s="28"/>
      <c r="X54" s="40"/>
      <c r="Y54" s="29"/>
      <c r="Z54" s="40"/>
      <c r="AA54" s="29"/>
      <c r="AB54" s="40"/>
      <c r="AC54" s="29"/>
      <c r="AD54" s="40" t="s">
        <v>0</v>
      </c>
      <c r="AE54" s="5"/>
      <c r="AF54" s="5"/>
    </row>
    <row r="55" spans="1:32" s="31" customFormat="1" ht="17.25" customHeight="1">
      <c r="A55" s="42" t="s">
        <v>39</v>
      </c>
      <c r="B55" s="29" t="s">
        <v>48</v>
      </c>
      <c r="C55" s="29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42" t="s">
        <v>39</v>
      </c>
      <c r="Q55" s="29" t="s">
        <v>41</v>
      </c>
      <c r="R55" s="29"/>
      <c r="S55" s="27"/>
      <c r="T55" s="12"/>
      <c r="U55" s="27"/>
      <c r="V55" s="28"/>
      <c r="W55" s="28"/>
      <c r="X55" s="40"/>
      <c r="Y55" s="29"/>
      <c r="Z55" s="40"/>
      <c r="AA55" s="29"/>
      <c r="AB55" s="40"/>
      <c r="AC55" s="29"/>
      <c r="AD55" s="40"/>
      <c r="AE55" s="5"/>
      <c r="AF55" s="5"/>
    </row>
    <row r="56" spans="1:32" s="31" customFormat="1" ht="17.25" customHeight="1">
      <c r="A56" s="42"/>
      <c r="B56" s="29"/>
      <c r="C56" s="29"/>
      <c r="D56" s="27"/>
      <c r="E56" s="28"/>
      <c r="F56" s="27"/>
      <c r="G56" s="28"/>
      <c r="H56" s="27"/>
      <c r="I56" s="28" t="s">
        <v>0</v>
      </c>
      <c r="J56" s="27"/>
      <c r="K56" s="28"/>
      <c r="L56" s="27"/>
      <c r="M56" s="28"/>
      <c r="N56" s="27"/>
      <c r="O56" s="28"/>
      <c r="P56" s="42"/>
      <c r="Q56" s="29"/>
      <c r="R56" s="29"/>
      <c r="S56" s="29"/>
      <c r="T56" s="12"/>
      <c r="U56" s="27"/>
      <c r="V56" s="27"/>
      <c r="W56" s="28"/>
      <c r="X56" s="40"/>
      <c r="Y56" s="29"/>
      <c r="Z56" s="40"/>
      <c r="AA56" s="29"/>
      <c r="AB56" s="40"/>
      <c r="AC56" s="29"/>
      <c r="AD56" s="40"/>
      <c r="AE56" s="5"/>
      <c r="AF56" s="5"/>
    </row>
    <row r="57" spans="1:32" s="31" customFormat="1" ht="12.75">
      <c r="A57" s="5"/>
      <c r="B57" s="29"/>
      <c r="C57" s="29"/>
      <c r="D57" s="30"/>
      <c r="E57" s="28"/>
      <c r="F57" s="27"/>
      <c r="G57" s="28" t="s">
        <v>0</v>
      </c>
      <c r="H57" s="27"/>
      <c r="I57" s="28"/>
      <c r="J57" s="27"/>
      <c r="K57" s="28"/>
      <c r="L57" s="27"/>
      <c r="M57" s="28"/>
      <c r="N57" s="27"/>
      <c r="O57" s="28"/>
      <c r="P57" s="5"/>
      <c r="Q57" s="29"/>
      <c r="R57" s="27"/>
      <c r="S57" s="28"/>
      <c r="T57" s="27"/>
      <c r="U57" s="28"/>
      <c r="V57" s="27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ht="12.75" hidden="1"/>
    <row r="59" ht="12.75" hidden="1">
      <c r="A59" s="73">
        <v>39394</v>
      </c>
    </row>
  </sheetData>
  <printOptions horizontalCentered="1"/>
  <pageMargins left="0.5" right="0.25" top="0.5" bottom="0.5" header="0.5" footer="0.5"/>
  <pageSetup fitToWidth="2" horizontalDpi="600" verticalDpi="600" orientation="landscape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2007-11-09T22:48:20Z</cp:lastPrinted>
  <dcterms:created xsi:type="dcterms:W3CDTF">2005-08-08T20:55:58Z</dcterms:created>
  <dcterms:modified xsi:type="dcterms:W3CDTF">2007-11-12T23:17:24Z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